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Mponte/Documents/Mike's USB Feb 19th/Personal/Personal/Prosperity Business Plan/SAVVY INVESTOR/Events/Investment Strategy Bootcamp/Resources/Finalized Resources/"/>
    </mc:Choice>
  </mc:AlternateContent>
  <xr:revisionPtr revIDLastSave="0" documentId="13_ncr:1_{B1A08A25-6BA2-B140-BE43-9EEDCC772FFD}" xr6:coauthVersionLast="47" xr6:coauthVersionMax="47" xr10:uidLastSave="{00000000-0000-0000-0000-000000000000}"/>
  <bookViews>
    <workbookView xWindow="2340" yWindow="500" windowWidth="24120" windowHeight="17500" activeTab="1" xr2:uid="{00000000-000D-0000-FFFF-FFFF00000000}"/>
  </bookViews>
  <sheets>
    <sheet name="Instructions" sheetId="7" r:id="rId1"/>
    <sheet name="Investment Model" sheetId="4" r:id="rId2"/>
    <sheet name="Investment Model (Notes)" sheetId="6" r:id="rId3"/>
  </sheets>
  <definedNames>
    <definedName name="_xlchart.v5.0" hidden="1">'Investment Model'!$T$16:$T$29</definedName>
    <definedName name="_xlchart.v5.1" hidden="1">'Investment Model'!$U$16:$U$29</definedName>
    <definedName name="_xlchart.v5.2" hidden="1">'Investment Model'!$T$16:$T$29</definedName>
    <definedName name="_xlchart.v5.3" hidden="1">'Investment Model'!$U$16:$U$29</definedName>
    <definedName name="_xlchart.v5.4" hidden="1">'Investment Model (Notes)'!$T$17:$T$30</definedName>
    <definedName name="_xlchart.v5.5" hidden="1">'Investment Model (Notes)'!$U$17:$U$30</definedName>
    <definedName name="_xlchart.v5.6" hidden="1">'Investment Model (Notes)'!$T$17:$T$30</definedName>
    <definedName name="_xlchart.v5.7" hidden="1">'Investment Model (Notes)'!$U$17:$U$30</definedName>
    <definedName name="_xlchart.v5.8" hidden="1">'Investment Model (Notes)'!$T$17:$T$30</definedName>
    <definedName name="_xlchart.v5.9" hidden="1">'Investment Model (Notes)'!$U$17:$U$30</definedName>
    <definedName name="Expense">Instructions!#REF!</definedName>
    <definedName name="Income">Instructions!#REF!</definedName>
    <definedName name="_xlnm.Print_Area" localSheetId="1">'Investment Model'!$A$5:$U$71</definedName>
    <definedName name="_xlnm.Print_Area" localSheetId="2">'Investment Model (Notes)'!$A$9:$U$72</definedName>
    <definedName name="Savings">Instructions!#REF!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6" l="1"/>
  <c r="B9" i="4"/>
  <c r="E79" i="4"/>
  <c r="E63" i="6"/>
  <c r="E62" i="4"/>
  <c r="E47" i="6"/>
  <c r="E46" i="4"/>
  <c r="E46" i="6"/>
  <c r="E45" i="4"/>
  <c r="E45" i="6"/>
  <c r="E44" i="4"/>
  <c r="E41" i="6"/>
  <c r="E40" i="4"/>
  <c r="E40" i="6"/>
  <c r="E39" i="4"/>
  <c r="E39" i="6"/>
  <c r="E38" i="4"/>
  <c r="E111" i="4"/>
  <c r="E112" i="6"/>
  <c r="B108" i="6" l="1"/>
  <c r="E107" i="6"/>
  <c r="B102" i="6"/>
  <c r="B101" i="6"/>
  <c r="B105" i="6" s="1"/>
  <c r="N68" i="6" s="1"/>
  <c r="B95" i="6"/>
  <c r="B89" i="6"/>
  <c r="B88" i="6"/>
  <c r="B87" i="6"/>
  <c r="B86" i="6"/>
  <c r="B84" i="6"/>
  <c r="B83" i="6"/>
  <c r="E82" i="6"/>
  <c r="B82" i="6"/>
  <c r="B81" i="6"/>
  <c r="E80" i="6"/>
  <c r="B80" i="6"/>
  <c r="E79" i="6"/>
  <c r="B79" i="6"/>
  <c r="E78" i="6"/>
  <c r="B78" i="6"/>
  <c r="E77" i="6"/>
  <c r="F76" i="6"/>
  <c r="F112" i="6" s="1"/>
  <c r="AC75" i="6"/>
  <c r="AO75" i="6" s="1"/>
  <c r="BA75" i="6" s="1"/>
  <c r="BM75" i="6" s="1"/>
  <c r="L71" i="6"/>
  <c r="N70" i="6"/>
  <c r="N69" i="6"/>
  <c r="L69" i="6"/>
  <c r="L68" i="6"/>
  <c r="N67" i="6"/>
  <c r="F67" i="6"/>
  <c r="N66" i="6"/>
  <c r="H66" i="6"/>
  <c r="F66" i="6"/>
  <c r="N65" i="6"/>
  <c r="N64" i="6"/>
  <c r="N63" i="6"/>
  <c r="N62" i="6"/>
  <c r="L62" i="6"/>
  <c r="F62" i="6"/>
  <c r="N61" i="6"/>
  <c r="N60" i="6"/>
  <c r="N59" i="6"/>
  <c r="L59" i="6"/>
  <c r="F57" i="6"/>
  <c r="N55" i="6"/>
  <c r="B92" i="6" s="1"/>
  <c r="N54" i="6"/>
  <c r="B91" i="6" s="1"/>
  <c r="N53" i="6"/>
  <c r="B90" i="6" s="1"/>
  <c r="L53" i="6"/>
  <c r="E50" i="6"/>
  <c r="F50" i="6" s="1"/>
  <c r="F49" i="6"/>
  <c r="L47" i="6"/>
  <c r="L46" i="6"/>
  <c r="L45" i="6"/>
  <c r="L44" i="6"/>
  <c r="F44" i="6"/>
  <c r="D27" i="6" s="1"/>
  <c r="L43" i="6"/>
  <c r="F43" i="6"/>
  <c r="D26" i="6" s="1"/>
  <c r="L42" i="6"/>
  <c r="F42" i="6"/>
  <c r="D25" i="6" s="1"/>
  <c r="L41" i="6"/>
  <c r="T40" i="6"/>
  <c r="S40" i="6"/>
  <c r="R40" i="6"/>
  <c r="Q40" i="6"/>
  <c r="P40" i="6"/>
  <c r="Q39" i="6"/>
  <c r="L38" i="6"/>
  <c r="F38" i="6"/>
  <c r="D19" i="6" s="1"/>
  <c r="L36" i="6"/>
  <c r="K36" i="6"/>
  <c r="F36" i="6"/>
  <c r="D30" i="6"/>
  <c r="C30" i="6"/>
  <c r="D29" i="6"/>
  <c r="C29" i="6"/>
  <c r="D28" i="6"/>
  <c r="C28" i="6"/>
  <c r="C27" i="6"/>
  <c r="C26" i="6"/>
  <c r="T25" i="6"/>
  <c r="C25" i="6"/>
  <c r="T24" i="6"/>
  <c r="D24" i="6"/>
  <c r="C24" i="6"/>
  <c r="H23" i="6"/>
  <c r="D23" i="6"/>
  <c r="C23" i="6"/>
  <c r="T22" i="6"/>
  <c r="H22" i="6"/>
  <c r="D22" i="6"/>
  <c r="C22" i="6"/>
  <c r="H21" i="6"/>
  <c r="H20" i="6"/>
  <c r="T18" i="6"/>
  <c r="T17" i="6"/>
  <c r="B10" i="6"/>
  <c r="T23" i="4"/>
  <c r="T17" i="4"/>
  <c r="T21" i="4"/>
  <c r="T16" i="4"/>
  <c r="L39" i="6" l="1"/>
  <c r="L40" i="6" s="1"/>
  <c r="L55" i="6"/>
  <c r="E56" i="6"/>
  <c r="E55" i="6"/>
  <c r="E100" i="6"/>
  <c r="F71" i="6"/>
  <c r="F75" i="6"/>
  <c r="F87" i="6" s="1"/>
  <c r="E57" i="6"/>
  <c r="L65" i="6"/>
  <c r="F70" i="6"/>
  <c r="E101" i="6" s="1"/>
  <c r="F54" i="6"/>
  <c r="F101" i="6"/>
  <c r="F93" i="6"/>
  <c r="F97" i="6"/>
  <c r="L21" i="6"/>
  <c r="L50" i="6"/>
  <c r="U20" i="6"/>
  <c r="G76" i="6"/>
  <c r="G112" i="6" s="1"/>
  <c r="F52" i="6"/>
  <c r="L63" i="6"/>
  <c r="L26" i="6" s="1"/>
  <c r="L64" i="6"/>
  <c r="F58" i="6"/>
  <c r="E96" i="6"/>
  <c r="D18" i="6"/>
  <c r="F53" i="6"/>
  <c r="R39" i="6"/>
  <c r="F77" i="6"/>
  <c r="E81" i="6"/>
  <c r="U23" i="6"/>
  <c r="F69" i="6"/>
  <c r="D21" i="4"/>
  <c r="H22" i="4"/>
  <c r="H21" i="4"/>
  <c r="H20" i="4"/>
  <c r="H19" i="4"/>
  <c r="H65" i="4"/>
  <c r="B94" i="4"/>
  <c r="N59" i="4"/>
  <c r="N68" i="4"/>
  <c r="N69" i="4"/>
  <c r="N65" i="4"/>
  <c r="N66" i="4"/>
  <c r="N61" i="4"/>
  <c r="N62" i="4"/>
  <c r="N58" i="4"/>
  <c r="AC74" i="4"/>
  <c r="AO74" i="4" s="1"/>
  <c r="BA74" i="4" s="1"/>
  <c r="BM74" i="4" s="1"/>
  <c r="L67" i="4"/>
  <c r="L58" i="4"/>
  <c r="L52" i="4"/>
  <c r="E106" i="4"/>
  <c r="F92" i="6" l="1"/>
  <c r="F89" i="6"/>
  <c r="F90" i="6"/>
  <c r="E106" i="6"/>
  <c r="F88" i="6"/>
  <c r="F86" i="6"/>
  <c r="R75" i="6"/>
  <c r="AD75" i="6" s="1"/>
  <c r="AP75" i="6" s="1"/>
  <c r="BB75" i="6" s="1"/>
  <c r="L56" i="6"/>
  <c r="L57" i="6" s="1"/>
  <c r="L16" i="6"/>
  <c r="L66" i="6"/>
  <c r="L20" i="6"/>
  <c r="F94" i="6"/>
  <c r="F107" i="6"/>
  <c r="E99" i="6"/>
  <c r="E103" i="6"/>
  <c r="G75" i="6"/>
  <c r="G87" i="6" s="1"/>
  <c r="E83" i="6"/>
  <c r="E97" i="6"/>
  <c r="F59" i="6"/>
  <c r="L15" i="6" s="1"/>
  <c r="D31" i="6"/>
  <c r="S39" i="6"/>
  <c r="G93" i="6"/>
  <c r="G97" i="6"/>
  <c r="G101" i="6"/>
  <c r="H76" i="6"/>
  <c r="H112" i="6" s="1"/>
  <c r="F91" i="6"/>
  <c r="F102" i="6"/>
  <c r="F103" i="6"/>
  <c r="F80" i="6"/>
  <c r="G77" i="6"/>
  <c r="H77" i="6" s="1"/>
  <c r="I77" i="6" s="1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Y77" i="6" s="1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AJ77" i="6" s="1"/>
  <c r="AK77" i="6" s="1"/>
  <c r="AL77" i="6" s="1"/>
  <c r="AM77" i="6" s="1"/>
  <c r="AN77" i="6" s="1"/>
  <c r="AO77" i="6" s="1"/>
  <c r="AP77" i="6" s="1"/>
  <c r="AQ77" i="6" s="1"/>
  <c r="AR77" i="6" s="1"/>
  <c r="AS77" i="6" s="1"/>
  <c r="AT77" i="6" s="1"/>
  <c r="AU77" i="6" s="1"/>
  <c r="AV77" i="6" s="1"/>
  <c r="AW77" i="6" s="1"/>
  <c r="AX77" i="6" s="1"/>
  <c r="AY77" i="6" s="1"/>
  <c r="AZ77" i="6" s="1"/>
  <c r="BA77" i="6" s="1"/>
  <c r="BB77" i="6" s="1"/>
  <c r="BC77" i="6" s="1"/>
  <c r="BD77" i="6" s="1"/>
  <c r="BE77" i="6" s="1"/>
  <c r="BF77" i="6" s="1"/>
  <c r="BG77" i="6" s="1"/>
  <c r="BH77" i="6" s="1"/>
  <c r="BI77" i="6" s="1"/>
  <c r="BJ77" i="6" s="1"/>
  <c r="BK77" i="6" s="1"/>
  <c r="BL77" i="6" s="1"/>
  <c r="BM77" i="6" s="1"/>
  <c r="F99" i="6"/>
  <c r="F104" i="6" s="1"/>
  <c r="F105" i="6" s="1"/>
  <c r="F98" i="6"/>
  <c r="F106" i="6"/>
  <c r="F83" i="6"/>
  <c r="F65" i="4"/>
  <c r="F61" i="4"/>
  <c r="F48" i="4"/>
  <c r="F66" i="4"/>
  <c r="U98" i="6" l="1"/>
  <c r="H99" i="6"/>
  <c r="H104" i="6" s="1"/>
  <c r="H105" i="6" s="1"/>
  <c r="T99" i="6"/>
  <c r="T104" i="6" s="1"/>
  <c r="T105" i="6" s="1"/>
  <c r="J99" i="6"/>
  <c r="J104" i="6" s="1"/>
  <c r="J105" i="6" s="1"/>
  <c r="AA98" i="6"/>
  <c r="L99" i="6"/>
  <c r="L104" i="6" s="1"/>
  <c r="L105" i="6" s="1"/>
  <c r="Q102" i="6"/>
  <c r="R102" i="6"/>
  <c r="K80" i="6"/>
  <c r="L80" i="6"/>
  <c r="O98" i="6"/>
  <c r="P103" i="6"/>
  <c r="H102" i="6"/>
  <c r="O80" i="6"/>
  <c r="BJ80" i="6"/>
  <c r="BC99" i="6"/>
  <c r="BC104" i="6" s="1"/>
  <c r="BC105" i="6" s="1"/>
  <c r="BF103" i="6"/>
  <c r="AU80" i="6"/>
  <c r="AP102" i="6"/>
  <c r="Z80" i="6"/>
  <c r="AW98" i="6"/>
  <c r="AU98" i="6"/>
  <c r="I99" i="6"/>
  <c r="I104" i="6" s="1"/>
  <c r="I105" i="6" s="1"/>
  <c r="R103" i="6"/>
  <c r="BD80" i="6"/>
  <c r="S103" i="6"/>
  <c r="Y102" i="6"/>
  <c r="R80" i="6"/>
  <c r="AD99" i="6"/>
  <c r="AD104" i="6" s="1"/>
  <c r="AD105" i="6" s="1"/>
  <c r="X99" i="6"/>
  <c r="X104" i="6" s="1"/>
  <c r="X105" i="6" s="1"/>
  <c r="V80" i="6"/>
  <c r="T98" i="6"/>
  <c r="AI103" i="6"/>
  <c r="BF102" i="6"/>
  <c r="O103" i="6"/>
  <c r="BC80" i="6"/>
  <c r="AY103" i="6"/>
  <c r="AT80" i="6"/>
  <c r="T80" i="6"/>
  <c r="V99" i="6"/>
  <c r="V104" i="6" s="1"/>
  <c r="V105" i="6" s="1"/>
  <c r="AV98" i="6"/>
  <c r="AJ80" i="6"/>
  <c r="AL98" i="6"/>
  <c r="AO99" i="6"/>
  <c r="AO104" i="6" s="1"/>
  <c r="AO105" i="6" s="1"/>
  <c r="AI102" i="6"/>
  <c r="BB102" i="6"/>
  <c r="AG103" i="6"/>
  <c r="L23" i="6"/>
  <c r="L22" i="6"/>
  <c r="V98" i="6"/>
  <c r="AY99" i="6"/>
  <c r="AY104" i="6" s="1"/>
  <c r="AY105" i="6" s="1"/>
  <c r="BD102" i="6"/>
  <c r="J80" i="6"/>
  <c r="AM99" i="6"/>
  <c r="AM104" i="6" s="1"/>
  <c r="AM105" i="6" s="1"/>
  <c r="AV99" i="6"/>
  <c r="AV104" i="6" s="1"/>
  <c r="AV105" i="6" s="1"/>
  <c r="AZ102" i="6"/>
  <c r="S80" i="6"/>
  <c r="AZ80" i="6"/>
  <c r="P98" i="6"/>
  <c r="AK98" i="6"/>
  <c r="BF98" i="6"/>
  <c r="AL99" i="6"/>
  <c r="AL104" i="6" s="1"/>
  <c r="AL105" i="6" s="1"/>
  <c r="BK99" i="6"/>
  <c r="BK104" i="6" s="1"/>
  <c r="BK105" i="6" s="1"/>
  <c r="AA102" i="6"/>
  <c r="AY102" i="6"/>
  <c r="I103" i="6"/>
  <c r="AR103" i="6"/>
  <c r="AW103" i="6"/>
  <c r="G92" i="6"/>
  <c r="BL98" i="6"/>
  <c r="E104" i="6"/>
  <c r="AQ103" i="6"/>
  <c r="AB99" i="6"/>
  <c r="AB104" i="6" s="1"/>
  <c r="AB105" i="6" s="1"/>
  <c r="AE102" i="6"/>
  <c r="U80" i="6"/>
  <c r="AN98" i="6"/>
  <c r="W99" i="6"/>
  <c r="W104" i="6" s="1"/>
  <c r="W105" i="6" s="1"/>
  <c r="BJ102" i="6"/>
  <c r="Y80" i="6"/>
  <c r="J98" i="6"/>
  <c r="J103" i="6"/>
  <c r="AB102" i="6"/>
  <c r="BA80" i="6"/>
  <c r="Q99" i="6"/>
  <c r="Q104" i="6" s="1"/>
  <c r="Q105" i="6" s="1"/>
  <c r="BL99" i="6"/>
  <c r="BL104" i="6" s="1"/>
  <c r="BL105" i="6" s="1"/>
  <c r="AB103" i="6"/>
  <c r="AE80" i="6"/>
  <c r="AP103" i="6"/>
  <c r="BD103" i="6"/>
  <c r="AP80" i="6"/>
  <c r="W102" i="6"/>
  <c r="AG102" i="6"/>
  <c r="N103" i="6"/>
  <c r="AI80" i="6"/>
  <c r="N98" i="6"/>
  <c r="AJ98" i="6"/>
  <c r="BE98" i="6"/>
  <c r="P99" i="6"/>
  <c r="P104" i="6" s="1"/>
  <c r="P105" i="6" s="1"/>
  <c r="BG99" i="6"/>
  <c r="BG104" i="6" s="1"/>
  <c r="BG105" i="6" s="1"/>
  <c r="Z102" i="6"/>
  <c r="AX102" i="6"/>
  <c r="Y103" i="6"/>
  <c r="BH103" i="6"/>
  <c r="BM103" i="6"/>
  <c r="AA99" i="6"/>
  <c r="AA104" i="6" s="1"/>
  <c r="AA105" i="6" s="1"/>
  <c r="AN103" i="6"/>
  <c r="BA103" i="6"/>
  <c r="AX98" i="6"/>
  <c r="AH102" i="6"/>
  <c r="AN102" i="6"/>
  <c r="AB80" i="6"/>
  <c r="U99" i="6"/>
  <c r="U104" i="6" s="1"/>
  <c r="U105" i="6" s="1"/>
  <c r="AO80" i="6"/>
  <c r="BM98" i="6"/>
  <c r="AU103" i="6"/>
  <c r="AR98" i="6"/>
  <c r="G88" i="6"/>
  <c r="S99" i="6"/>
  <c r="S104" i="6" s="1"/>
  <c r="S105" i="6" s="1"/>
  <c r="W103" i="6"/>
  <c r="AQ98" i="6"/>
  <c r="N80" i="6"/>
  <c r="AT103" i="6"/>
  <c r="BJ98" i="6"/>
  <c r="BE102" i="6"/>
  <c r="G91" i="6"/>
  <c r="AD80" i="6"/>
  <c r="AE103" i="6"/>
  <c r="AK80" i="6"/>
  <c r="BG98" i="6"/>
  <c r="AL102" i="6"/>
  <c r="G107" i="6"/>
  <c r="G94" i="6"/>
  <c r="BC103" i="6"/>
  <c r="AZ98" i="6"/>
  <c r="Q98" i="6"/>
  <c r="AV80" i="6"/>
  <c r="AG80" i="6"/>
  <c r="T103" i="6"/>
  <c r="AK103" i="6"/>
  <c r="AY80" i="6"/>
  <c r="BD98" i="6"/>
  <c r="O99" i="6"/>
  <c r="O104" i="6" s="1"/>
  <c r="O105" i="6" s="1"/>
  <c r="AJ99" i="6"/>
  <c r="AJ104" i="6" s="1"/>
  <c r="AJ105" i="6" s="1"/>
  <c r="U102" i="6"/>
  <c r="AW102" i="6"/>
  <c r="M103" i="6"/>
  <c r="V103" i="6"/>
  <c r="AO103" i="6"/>
  <c r="G98" i="6"/>
  <c r="AF99" i="6"/>
  <c r="AF104" i="6" s="1"/>
  <c r="AF105" i="6" s="1"/>
  <c r="E84" i="6"/>
  <c r="E85" i="6" s="1"/>
  <c r="E95" i="6" s="1"/>
  <c r="AJ102" i="6"/>
  <c r="AT98" i="6"/>
  <c r="BL103" i="6"/>
  <c r="O102" i="6"/>
  <c r="S75" i="6"/>
  <c r="AE75" i="6" s="1"/>
  <c r="AQ75" i="6" s="1"/>
  <c r="BC75" i="6" s="1"/>
  <c r="AB98" i="6"/>
  <c r="AY98" i="6"/>
  <c r="AC102" i="6"/>
  <c r="W80" i="6"/>
  <c r="X98" i="6"/>
  <c r="AX99" i="6"/>
  <c r="AX104" i="6" s="1"/>
  <c r="AX105" i="6" s="1"/>
  <c r="AD102" i="6"/>
  <c r="AF98" i="6"/>
  <c r="BA102" i="6"/>
  <c r="AT102" i="6"/>
  <c r="G90" i="6"/>
  <c r="BC102" i="6"/>
  <c r="AS99" i="6"/>
  <c r="AS104" i="6" s="1"/>
  <c r="AS105" i="6" s="1"/>
  <c r="AL80" i="6"/>
  <c r="V102" i="6"/>
  <c r="J102" i="6"/>
  <c r="AM103" i="6"/>
  <c r="S98" i="6"/>
  <c r="S102" i="6"/>
  <c r="L103" i="6"/>
  <c r="BJ103" i="6"/>
  <c r="AC80" i="6"/>
  <c r="AO98" i="6"/>
  <c r="AF103" i="6"/>
  <c r="AI98" i="6"/>
  <c r="F84" i="6"/>
  <c r="F85" i="6" s="1"/>
  <c r="AW80" i="6"/>
  <c r="BI80" i="6"/>
  <c r="BM80" i="6"/>
  <c r="AC99" i="6"/>
  <c r="AC104" i="6" s="1"/>
  <c r="AC105" i="6" s="1"/>
  <c r="AD98" i="6"/>
  <c r="I98" i="6"/>
  <c r="BI103" i="6"/>
  <c r="M98" i="6"/>
  <c r="BB98" i="6"/>
  <c r="N99" i="6"/>
  <c r="N104" i="6" s="1"/>
  <c r="N105" i="6" s="1"/>
  <c r="AI99" i="6"/>
  <c r="AI104" i="6" s="1"/>
  <c r="AI105" i="6" s="1"/>
  <c r="BE99" i="6"/>
  <c r="BE104" i="6" s="1"/>
  <c r="BE105" i="6" s="1"/>
  <c r="AR102" i="6"/>
  <c r="K103" i="6"/>
  <c r="AJ103" i="6"/>
  <c r="AL103" i="6"/>
  <c r="BE103" i="6"/>
  <c r="W98" i="6"/>
  <c r="BA98" i="6"/>
  <c r="AQ102" i="6"/>
  <c r="AR99" i="6"/>
  <c r="AR104" i="6" s="1"/>
  <c r="AR105" i="6" s="1"/>
  <c r="AH98" i="6"/>
  <c r="BC98" i="6"/>
  <c r="BG102" i="6"/>
  <c r="AX80" i="6"/>
  <c r="BM102" i="6"/>
  <c r="P102" i="6"/>
  <c r="G83" i="6"/>
  <c r="BI99" i="6"/>
  <c r="BI104" i="6" s="1"/>
  <c r="BI105" i="6" s="1"/>
  <c r="BH102" i="6"/>
  <c r="AS102" i="6"/>
  <c r="AU99" i="6"/>
  <c r="AU104" i="6" s="1"/>
  <c r="AU105" i="6" s="1"/>
  <c r="AM80" i="6"/>
  <c r="AO102" i="6"/>
  <c r="BK103" i="6"/>
  <c r="BM99" i="6"/>
  <c r="BM104" i="6" s="1"/>
  <c r="BM105" i="6" s="1"/>
  <c r="BB80" i="6"/>
  <c r="AQ99" i="6"/>
  <c r="AQ104" i="6" s="1"/>
  <c r="AQ105" i="6" s="1"/>
  <c r="Q103" i="6"/>
  <c r="K99" i="6"/>
  <c r="K104" i="6" s="1"/>
  <c r="K105" i="6" s="1"/>
  <c r="G106" i="6"/>
  <c r="BE80" i="6"/>
  <c r="L98" i="6"/>
  <c r="AC98" i="6"/>
  <c r="K102" i="6"/>
  <c r="M80" i="6"/>
  <c r="BH98" i="6"/>
  <c r="H98" i="6"/>
  <c r="AG98" i="6"/>
  <c r="M99" i="6"/>
  <c r="M104" i="6" s="1"/>
  <c r="M105" i="6" s="1"/>
  <c r="AG99" i="6"/>
  <c r="AG104" i="6" s="1"/>
  <c r="AG105" i="6" s="1"/>
  <c r="BD99" i="6"/>
  <c r="BD104" i="6" s="1"/>
  <c r="BD105" i="6" s="1"/>
  <c r="T102" i="6"/>
  <c r="G103" i="6"/>
  <c r="AH103" i="6"/>
  <c r="BG103" i="6"/>
  <c r="BB103" i="6"/>
  <c r="R98" i="6"/>
  <c r="AM98" i="6"/>
  <c r="H106" i="6"/>
  <c r="H93" i="6"/>
  <c r="H90" i="6"/>
  <c r="H97" i="6"/>
  <c r="H83" i="6"/>
  <c r="H101" i="6"/>
  <c r="I76" i="6"/>
  <c r="I112" i="6" s="1"/>
  <c r="H75" i="6"/>
  <c r="H87" i="6" s="1"/>
  <c r="AW99" i="6"/>
  <c r="AW104" i="6" s="1"/>
  <c r="AW105" i="6" s="1"/>
  <c r="BJ99" i="6"/>
  <c r="BJ104" i="6" s="1"/>
  <c r="BJ105" i="6" s="1"/>
  <c r="BB99" i="6"/>
  <c r="BB104" i="6" s="1"/>
  <c r="BB105" i="6" s="1"/>
  <c r="BH99" i="6"/>
  <c r="BH104" i="6" s="1"/>
  <c r="BH105" i="6" s="1"/>
  <c r="BI98" i="6"/>
  <c r="AD103" i="6"/>
  <c r="AC103" i="6"/>
  <c r="AE98" i="6"/>
  <c r="AU102" i="6"/>
  <c r="AE99" i="6"/>
  <c r="AE104" i="6" s="1"/>
  <c r="AE105" i="6" s="1"/>
  <c r="AZ103" i="6"/>
  <c r="Z99" i="6"/>
  <c r="Z104" i="6" s="1"/>
  <c r="Z105" i="6" s="1"/>
  <c r="P80" i="6"/>
  <c r="BF80" i="6"/>
  <c r="AS103" i="6"/>
  <c r="H103" i="6"/>
  <c r="AS80" i="6"/>
  <c r="AN99" i="6"/>
  <c r="AN104" i="6" s="1"/>
  <c r="AN105" i="6" s="1"/>
  <c r="Y99" i="6"/>
  <c r="Y104" i="6" s="1"/>
  <c r="Y105" i="6" s="1"/>
  <c r="AZ99" i="6"/>
  <c r="AZ104" i="6" s="1"/>
  <c r="AZ105" i="6" s="1"/>
  <c r="AM102" i="6"/>
  <c r="BK102" i="6"/>
  <c r="AA103" i="6"/>
  <c r="H80" i="6"/>
  <c r="AA80" i="6"/>
  <c r="AR80" i="6"/>
  <c r="AF102" i="6"/>
  <c r="BK98" i="6"/>
  <c r="AK99" i="6"/>
  <c r="AK104" i="6" s="1"/>
  <c r="AK105" i="6" s="1"/>
  <c r="AP99" i="6"/>
  <c r="AP104" i="6" s="1"/>
  <c r="AP105" i="6" s="1"/>
  <c r="G89" i="6"/>
  <c r="Q80" i="6"/>
  <c r="K98" i="6"/>
  <c r="AF80" i="6"/>
  <c r="AH80" i="6"/>
  <c r="AP98" i="6"/>
  <c r="X102" i="6"/>
  <c r="Z98" i="6"/>
  <c r="AT99" i="6"/>
  <c r="AT104" i="6" s="1"/>
  <c r="AT105" i="6" s="1"/>
  <c r="M102" i="6"/>
  <c r="BI102" i="6"/>
  <c r="Z103" i="6"/>
  <c r="AX103" i="6"/>
  <c r="X80" i="6"/>
  <c r="AQ80" i="6"/>
  <c r="BH80" i="6"/>
  <c r="AV102" i="6"/>
  <c r="R99" i="6"/>
  <c r="R104" i="6" s="1"/>
  <c r="R105" i="6" s="1"/>
  <c r="BA99" i="6"/>
  <c r="BA104" i="6" s="1"/>
  <c r="BA105" i="6" s="1"/>
  <c r="BF99" i="6"/>
  <c r="BF104" i="6" s="1"/>
  <c r="BF105" i="6" s="1"/>
  <c r="G86" i="6"/>
  <c r="BK80" i="6"/>
  <c r="G99" i="6"/>
  <c r="G104" i="6" s="1"/>
  <c r="G105" i="6" s="1"/>
  <c r="BL80" i="6"/>
  <c r="I80" i="6"/>
  <c r="L102" i="6"/>
  <c r="U103" i="6"/>
  <c r="AS98" i="6"/>
  <c r="G102" i="6"/>
  <c r="AK102" i="6"/>
  <c r="X103" i="6"/>
  <c r="AV103" i="6"/>
  <c r="G80" i="6"/>
  <c r="AN80" i="6"/>
  <c r="BG80" i="6"/>
  <c r="Y98" i="6"/>
  <c r="BL102" i="6"/>
  <c r="AH99" i="6"/>
  <c r="AH104" i="6" s="1"/>
  <c r="AH105" i="6" s="1"/>
  <c r="I102" i="6"/>
  <c r="N102" i="6"/>
  <c r="E99" i="4"/>
  <c r="U22" i="4"/>
  <c r="L61" i="4"/>
  <c r="H91" i="6" l="1"/>
  <c r="H86" i="6"/>
  <c r="L64" i="4"/>
  <c r="I106" i="6"/>
  <c r="I97" i="6"/>
  <c r="I101" i="6"/>
  <c r="I93" i="6"/>
  <c r="J76" i="6"/>
  <c r="J112" i="6" s="1"/>
  <c r="H88" i="6"/>
  <c r="E105" i="6"/>
  <c r="E108" i="6" s="1"/>
  <c r="F95" i="6"/>
  <c r="F108" i="6" s="1"/>
  <c r="H107" i="6"/>
  <c r="H94" i="6"/>
  <c r="H84" i="6"/>
  <c r="H85" i="6" s="1"/>
  <c r="H89" i="6"/>
  <c r="H92" i="6"/>
  <c r="T75" i="6"/>
  <c r="AF75" i="6" s="1"/>
  <c r="AR75" i="6" s="1"/>
  <c r="BD75" i="6" s="1"/>
  <c r="G84" i="6"/>
  <c r="G85" i="6" s="1"/>
  <c r="I75" i="6"/>
  <c r="I92" i="6" s="1"/>
  <c r="L63" i="4"/>
  <c r="L62" i="4"/>
  <c r="E49" i="4"/>
  <c r="F49" i="4" s="1"/>
  <c r="E54" i="4" s="1"/>
  <c r="T24" i="4"/>
  <c r="D22" i="4"/>
  <c r="D23" i="4"/>
  <c r="D27" i="4"/>
  <c r="D28" i="4"/>
  <c r="D29" i="4"/>
  <c r="C22" i="4"/>
  <c r="C23" i="4"/>
  <c r="C24" i="4"/>
  <c r="C25" i="4"/>
  <c r="C26" i="4"/>
  <c r="C27" i="4"/>
  <c r="C28" i="4"/>
  <c r="C29" i="4"/>
  <c r="C21" i="4"/>
  <c r="I90" i="6" l="1"/>
  <c r="I88" i="6"/>
  <c r="I83" i="6"/>
  <c r="I87" i="6"/>
  <c r="I89" i="6"/>
  <c r="I86" i="6"/>
  <c r="I91" i="6"/>
  <c r="J75" i="6"/>
  <c r="V75" i="6" s="1"/>
  <c r="AH75" i="6" s="1"/>
  <c r="AT75" i="6" s="1"/>
  <c r="BF75" i="6" s="1"/>
  <c r="E56" i="4"/>
  <c r="E55" i="4"/>
  <c r="H95" i="6"/>
  <c r="H108" i="6" s="1"/>
  <c r="E109" i="6"/>
  <c r="G95" i="6"/>
  <c r="G108" i="6" s="1"/>
  <c r="I84" i="6"/>
  <c r="I85" i="6" s="1"/>
  <c r="J101" i="6"/>
  <c r="J97" i="6"/>
  <c r="J106" i="6"/>
  <c r="J93" i="6"/>
  <c r="K76" i="6"/>
  <c r="K112" i="6" s="1"/>
  <c r="I94" i="6"/>
  <c r="I107" i="6"/>
  <c r="U75" i="6"/>
  <c r="AG75" i="6" s="1"/>
  <c r="AS75" i="6" s="1"/>
  <c r="BE75" i="6" s="1"/>
  <c r="F57" i="4"/>
  <c r="U19" i="4"/>
  <c r="F53" i="4"/>
  <c r="E95" i="4"/>
  <c r="D17" i="4"/>
  <c r="L25" i="4"/>
  <c r="L65" i="4" s="1"/>
  <c r="F69" i="4"/>
  <c r="E100" i="4" s="1"/>
  <c r="F68" i="4"/>
  <c r="F52" i="4"/>
  <c r="D30" i="4" s="1"/>
  <c r="F51" i="4"/>
  <c r="B107" i="4"/>
  <c r="B78" i="4"/>
  <c r="B79" i="4"/>
  <c r="B80" i="4"/>
  <c r="B81" i="4"/>
  <c r="B82" i="4"/>
  <c r="B83" i="4"/>
  <c r="B84" i="4"/>
  <c r="B85" i="4"/>
  <c r="B86" i="4"/>
  <c r="B87" i="4"/>
  <c r="B88" i="4"/>
  <c r="T39" i="4"/>
  <c r="S39" i="4"/>
  <c r="R39" i="4"/>
  <c r="P39" i="4"/>
  <c r="Q39" i="4"/>
  <c r="E76" i="4"/>
  <c r="Q38" i="4"/>
  <c r="F35" i="4"/>
  <c r="K35" i="4"/>
  <c r="L35" i="4"/>
  <c r="E78" i="4"/>
  <c r="N54" i="4"/>
  <c r="N53" i="4"/>
  <c r="N52" i="4"/>
  <c r="E81" i="4"/>
  <c r="E77" i="4"/>
  <c r="F75" i="4"/>
  <c r="L70" i="4"/>
  <c r="L68" i="4"/>
  <c r="F43" i="4"/>
  <c r="D26" i="4" s="1"/>
  <c r="F42" i="4"/>
  <c r="D25" i="4" s="1"/>
  <c r="F41" i="4"/>
  <c r="L46" i="4"/>
  <c r="L45" i="4"/>
  <c r="L44" i="4"/>
  <c r="L43" i="4"/>
  <c r="L42" i="4"/>
  <c r="F37" i="4"/>
  <c r="L41" i="4"/>
  <c r="L40" i="4"/>
  <c r="L37" i="4"/>
  <c r="L54" i="4" s="1"/>
  <c r="J92" i="6" l="1"/>
  <c r="J91" i="6"/>
  <c r="J83" i="6"/>
  <c r="J86" i="6"/>
  <c r="J89" i="6"/>
  <c r="J90" i="6"/>
  <c r="J88" i="6"/>
  <c r="J87" i="6"/>
  <c r="F96" i="4"/>
  <c r="F111" i="4"/>
  <c r="F109" i="6"/>
  <c r="G109" i="6" s="1"/>
  <c r="H109" i="6" s="1"/>
  <c r="I95" i="6"/>
  <c r="I108" i="6" s="1"/>
  <c r="J94" i="6"/>
  <c r="J107" i="6"/>
  <c r="K101" i="6"/>
  <c r="K93" i="6"/>
  <c r="K97" i="6"/>
  <c r="K106" i="6"/>
  <c r="L76" i="6"/>
  <c r="L112" i="6" s="1"/>
  <c r="K75" i="6"/>
  <c r="K92" i="6" s="1"/>
  <c r="J84" i="6"/>
  <c r="F58" i="4"/>
  <c r="L14" i="4" s="1"/>
  <c r="E96" i="4"/>
  <c r="L20" i="4"/>
  <c r="B101" i="4"/>
  <c r="N64" i="4" s="1"/>
  <c r="N60" i="4"/>
  <c r="B100" i="4"/>
  <c r="F100" i="4"/>
  <c r="F70" i="4"/>
  <c r="L15" i="4" s="1"/>
  <c r="D18" i="4"/>
  <c r="B89" i="4"/>
  <c r="B90" i="4"/>
  <c r="B91" i="4"/>
  <c r="R38" i="4"/>
  <c r="F76" i="4"/>
  <c r="E105" i="4" s="1"/>
  <c r="D24" i="4"/>
  <c r="F74" i="4"/>
  <c r="E80" i="4"/>
  <c r="F92" i="4"/>
  <c r="F106" i="4" s="1"/>
  <c r="L38" i="4"/>
  <c r="G75" i="4"/>
  <c r="K86" i="6" l="1"/>
  <c r="K89" i="6"/>
  <c r="K90" i="6"/>
  <c r="K91" i="6"/>
  <c r="K88" i="6"/>
  <c r="K87" i="6"/>
  <c r="G96" i="4"/>
  <c r="G111" i="4"/>
  <c r="J85" i="6"/>
  <c r="J95" i="6" s="1"/>
  <c r="J108" i="6" s="1"/>
  <c r="K94" i="6"/>
  <c r="K107" i="6"/>
  <c r="W75" i="6"/>
  <c r="AI75" i="6" s="1"/>
  <c r="AU75" i="6" s="1"/>
  <c r="BG75" i="6" s="1"/>
  <c r="K83" i="6"/>
  <c r="I109" i="6"/>
  <c r="L93" i="6"/>
  <c r="L86" i="6"/>
  <c r="L101" i="6"/>
  <c r="L97" i="6"/>
  <c r="L106" i="6"/>
  <c r="M76" i="6"/>
  <c r="M112" i="6" s="1"/>
  <c r="L75" i="6"/>
  <c r="X75" i="6" s="1"/>
  <c r="AJ75" i="6" s="1"/>
  <c r="AV75" i="6" s="1"/>
  <c r="BH75" i="6" s="1"/>
  <c r="B104" i="4"/>
  <c r="N67" i="4" s="1"/>
  <c r="N63" i="4"/>
  <c r="E82" i="4"/>
  <c r="F105" i="4"/>
  <c r="F85" i="4"/>
  <c r="R74" i="4"/>
  <c r="AD74" i="4" s="1"/>
  <c r="AP74" i="4" s="1"/>
  <c r="BB74" i="4" s="1"/>
  <c r="F82" i="4"/>
  <c r="G100" i="4"/>
  <c r="F98" i="4"/>
  <c r="F103" i="4" s="1"/>
  <c r="F104" i="4" s="1"/>
  <c r="F101" i="4"/>
  <c r="F102" i="4"/>
  <c r="F97" i="4"/>
  <c r="E102" i="4"/>
  <c r="E98" i="4"/>
  <c r="F91" i="4"/>
  <c r="F90" i="4"/>
  <c r="F89" i="4"/>
  <c r="L39" i="4"/>
  <c r="L49" i="4" s="1"/>
  <c r="F79" i="4"/>
  <c r="S38" i="4"/>
  <c r="G76" i="4"/>
  <c r="F86" i="4"/>
  <c r="F88" i="4"/>
  <c r="F87" i="4"/>
  <c r="F93" i="4"/>
  <c r="G74" i="4"/>
  <c r="H75" i="4"/>
  <c r="G92" i="4"/>
  <c r="L89" i="6" l="1"/>
  <c r="L92" i="6"/>
  <c r="L90" i="6"/>
  <c r="L87" i="6"/>
  <c r="L88" i="6"/>
  <c r="H96" i="4"/>
  <c r="H111" i="4"/>
  <c r="J109" i="6"/>
  <c r="L107" i="6"/>
  <c r="L94" i="6"/>
  <c r="L91" i="6"/>
  <c r="K84" i="6"/>
  <c r="K85" i="6" s="1"/>
  <c r="K95" i="6" s="1"/>
  <c r="K108" i="6" s="1"/>
  <c r="L83" i="6"/>
  <c r="M101" i="6"/>
  <c r="M93" i="6"/>
  <c r="M92" i="6"/>
  <c r="M106" i="6"/>
  <c r="N76" i="6"/>
  <c r="N112" i="6" s="1"/>
  <c r="M97" i="6"/>
  <c r="M75" i="6"/>
  <c r="L55" i="4"/>
  <c r="L56" i="4" s="1"/>
  <c r="L19" i="4"/>
  <c r="G85" i="4"/>
  <c r="S74" i="4"/>
  <c r="AE74" i="4" s="1"/>
  <c r="AQ74" i="4" s="1"/>
  <c r="BC74" i="4" s="1"/>
  <c r="E103" i="4"/>
  <c r="G105" i="4"/>
  <c r="G82" i="4"/>
  <c r="G98" i="4"/>
  <c r="G103" i="4" s="1"/>
  <c r="G104" i="4" s="1"/>
  <c r="G93" i="4"/>
  <c r="G106" i="4"/>
  <c r="H100" i="4"/>
  <c r="G102" i="4"/>
  <c r="G101" i="4"/>
  <c r="G97" i="4"/>
  <c r="G89" i="4"/>
  <c r="F83" i="4"/>
  <c r="F84" i="4" s="1"/>
  <c r="G90" i="4"/>
  <c r="G91" i="4"/>
  <c r="E83" i="4"/>
  <c r="E84" i="4" s="1"/>
  <c r="H76" i="4"/>
  <c r="H105" i="4" s="1"/>
  <c r="G79" i="4"/>
  <c r="G86" i="4"/>
  <c r="G88" i="4"/>
  <c r="G87" i="4"/>
  <c r="I75" i="4"/>
  <c r="H92" i="4"/>
  <c r="H74" i="4"/>
  <c r="I96" i="4" l="1"/>
  <c r="I111" i="4"/>
  <c r="K109" i="6"/>
  <c r="Y75" i="6"/>
  <c r="AK75" i="6" s="1"/>
  <c r="AW75" i="6" s="1"/>
  <c r="BI75" i="6" s="1"/>
  <c r="M87" i="6"/>
  <c r="L84" i="6"/>
  <c r="N97" i="6"/>
  <c r="N106" i="6"/>
  <c r="N101" i="6"/>
  <c r="N93" i="6"/>
  <c r="O76" i="6"/>
  <c r="O112" i="6" s="1"/>
  <c r="N75" i="6"/>
  <c r="M107" i="6"/>
  <c r="M94" i="6"/>
  <c r="M83" i="6"/>
  <c r="M91" i="6"/>
  <c r="M88" i="6"/>
  <c r="M86" i="6"/>
  <c r="M89" i="6"/>
  <c r="M90" i="6"/>
  <c r="L22" i="4"/>
  <c r="L21" i="4"/>
  <c r="E104" i="4"/>
  <c r="T74" i="4"/>
  <c r="AF74" i="4" s="1"/>
  <c r="AR74" i="4" s="1"/>
  <c r="BD74" i="4" s="1"/>
  <c r="H82" i="4"/>
  <c r="H93" i="4"/>
  <c r="H106" i="4"/>
  <c r="H102" i="4"/>
  <c r="H97" i="4"/>
  <c r="H98" i="4"/>
  <c r="H101" i="4"/>
  <c r="I100" i="4"/>
  <c r="H90" i="4"/>
  <c r="H79" i="4"/>
  <c r="H91" i="4"/>
  <c r="F94" i="4"/>
  <c r="F107" i="4" s="1"/>
  <c r="H89" i="4"/>
  <c r="I76" i="4"/>
  <c r="G83" i="4"/>
  <c r="G84" i="4" s="1"/>
  <c r="E94" i="4"/>
  <c r="H87" i="4"/>
  <c r="I74" i="4"/>
  <c r="H86" i="4"/>
  <c r="H88" i="4"/>
  <c r="H85" i="4"/>
  <c r="J75" i="4"/>
  <c r="I92" i="4"/>
  <c r="J96" i="4" l="1"/>
  <c r="J111" i="4"/>
  <c r="L85" i="6"/>
  <c r="L95" i="6" s="1"/>
  <c r="L108" i="6" s="1"/>
  <c r="N92" i="6"/>
  <c r="N107" i="6"/>
  <c r="N94" i="6"/>
  <c r="N87" i="6"/>
  <c r="N90" i="6"/>
  <c r="N88" i="6"/>
  <c r="O106" i="6"/>
  <c r="O101" i="6"/>
  <c r="O97" i="6"/>
  <c r="O93" i="6"/>
  <c r="P76" i="6"/>
  <c r="P112" i="6" s="1"/>
  <c r="O75" i="6"/>
  <c r="AA75" i="6" s="1"/>
  <c r="AM75" i="6" s="1"/>
  <c r="AY75" i="6" s="1"/>
  <c r="BK75" i="6" s="1"/>
  <c r="Z75" i="6"/>
  <c r="AL75" i="6" s="1"/>
  <c r="AX75" i="6" s="1"/>
  <c r="BJ75" i="6" s="1"/>
  <c r="N83" i="6"/>
  <c r="N86" i="6"/>
  <c r="N91" i="6"/>
  <c r="M84" i="6"/>
  <c r="M85" i="6" s="1"/>
  <c r="M95" i="6" s="1"/>
  <c r="M108" i="6" s="1"/>
  <c r="N89" i="6"/>
  <c r="H103" i="4"/>
  <c r="E107" i="4"/>
  <c r="I105" i="4"/>
  <c r="I88" i="4"/>
  <c r="U74" i="4"/>
  <c r="AG74" i="4" s="1"/>
  <c r="AS74" i="4" s="1"/>
  <c r="BE74" i="4" s="1"/>
  <c r="I82" i="4"/>
  <c r="I93" i="4"/>
  <c r="I106" i="4"/>
  <c r="J100" i="4"/>
  <c r="I97" i="4"/>
  <c r="I101" i="4"/>
  <c r="I98" i="4"/>
  <c r="I103" i="4" s="1"/>
  <c r="I104" i="4" s="1"/>
  <c r="I102" i="4"/>
  <c r="I90" i="4"/>
  <c r="I86" i="4"/>
  <c r="I87" i="4"/>
  <c r="I89" i="4"/>
  <c r="I91" i="4"/>
  <c r="I85" i="4"/>
  <c r="J76" i="4"/>
  <c r="I79" i="4"/>
  <c r="H83" i="4"/>
  <c r="H84" i="4" s="1"/>
  <c r="J74" i="4"/>
  <c r="J92" i="4"/>
  <c r="K75" i="4"/>
  <c r="O89" i="6" l="1"/>
  <c r="O92" i="6"/>
  <c r="O91" i="6"/>
  <c r="K96" i="4"/>
  <c r="K111" i="4"/>
  <c r="L109" i="6"/>
  <c r="M109" i="6" s="1"/>
  <c r="O87" i="6"/>
  <c r="O83" i="6"/>
  <c r="O90" i="6"/>
  <c r="O86" i="6"/>
  <c r="P101" i="6"/>
  <c r="P97" i="6"/>
  <c r="P106" i="6"/>
  <c r="Q76" i="6"/>
  <c r="Q112" i="6" s="1"/>
  <c r="P93" i="6"/>
  <c r="P75" i="6"/>
  <c r="AB75" i="6" s="1"/>
  <c r="AN75" i="6" s="1"/>
  <c r="AZ75" i="6" s="1"/>
  <c r="BL75" i="6" s="1"/>
  <c r="O94" i="6"/>
  <c r="O107" i="6"/>
  <c r="N84" i="6"/>
  <c r="N85" i="6" s="1"/>
  <c r="O88" i="6"/>
  <c r="H104" i="4"/>
  <c r="E108" i="4"/>
  <c r="J105" i="4"/>
  <c r="J88" i="4"/>
  <c r="V74" i="4"/>
  <c r="AH74" i="4" s="1"/>
  <c r="AT74" i="4" s="1"/>
  <c r="BF74" i="4" s="1"/>
  <c r="J82" i="4"/>
  <c r="J93" i="4"/>
  <c r="J106" i="4"/>
  <c r="J97" i="4"/>
  <c r="J98" i="4"/>
  <c r="J103" i="4" s="1"/>
  <c r="J104" i="4" s="1"/>
  <c r="J101" i="4"/>
  <c r="K100" i="4"/>
  <c r="J90" i="4"/>
  <c r="J102" i="4"/>
  <c r="J91" i="4"/>
  <c r="J89" i="4"/>
  <c r="I83" i="4"/>
  <c r="I84" i="4" s="1"/>
  <c r="I94" i="4" s="1"/>
  <c r="I107" i="4" s="1"/>
  <c r="J79" i="4"/>
  <c r="J86" i="4"/>
  <c r="J87" i="4"/>
  <c r="J85" i="4"/>
  <c r="K76" i="4"/>
  <c r="G94" i="4"/>
  <c r="H94" i="4"/>
  <c r="L75" i="4"/>
  <c r="K92" i="4"/>
  <c r="K74" i="4"/>
  <c r="P88" i="6" l="1"/>
  <c r="P92" i="6"/>
  <c r="P90" i="6"/>
  <c r="P91" i="6"/>
  <c r="P87" i="6"/>
  <c r="P86" i="6"/>
  <c r="L96" i="4"/>
  <c r="L111" i="4"/>
  <c r="N95" i="6"/>
  <c r="N108" i="6" s="1"/>
  <c r="N109" i="6" s="1"/>
  <c r="P65" i="6"/>
  <c r="P61" i="6"/>
  <c r="R44" i="6"/>
  <c r="P59" i="6"/>
  <c r="R63" i="6"/>
  <c r="T67" i="6"/>
  <c r="R43" i="6"/>
  <c r="Q59" i="6"/>
  <c r="T41" i="6"/>
  <c r="T44" i="6"/>
  <c r="P42" i="6"/>
  <c r="R62" i="6"/>
  <c r="R42" i="6"/>
  <c r="T45" i="6"/>
  <c r="P41" i="6"/>
  <c r="R61" i="6"/>
  <c r="P44" i="6"/>
  <c r="T62" i="6"/>
  <c r="P43" i="6"/>
  <c r="T59" i="6"/>
  <c r="Q65" i="6"/>
  <c r="T63" i="6"/>
  <c r="Q63" i="6"/>
  <c r="T66" i="6"/>
  <c r="Q66" i="6"/>
  <c r="Q42" i="6"/>
  <c r="T61" i="6"/>
  <c r="S62" i="6"/>
  <c r="S44" i="6"/>
  <c r="P63" i="6"/>
  <c r="Q61" i="6"/>
  <c r="R41" i="6"/>
  <c r="S43" i="6"/>
  <c r="R65" i="6"/>
  <c r="R68" i="6"/>
  <c r="T68" i="6"/>
  <c r="Q68" i="6"/>
  <c r="S41" i="6"/>
  <c r="T42" i="6"/>
  <c r="S65" i="6"/>
  <c r="S42" i="6"/>
  <c r="T65" i="6"/>
  <c r="Q62" i="6"/>
  <c r="S45" i="6"/>
  <c r="P45" i="6"/>
  <c r="S67" i="6"/>
  <c r="Q43" i="6"/>
  <c r="R66" i="6"/>
  <c r="R67" i="6"/>
  <c r="P66" i="6"/>
  <c r="R45" i="6"/>
  <c r="T43" i="6"/>
  <c r="S61" i="6"/>
  <c r="S68" i="6"/>
  <c r="Q41" i="6"/>
  <c r="Q44" i="6"/>
  <c r="Q67" i="6"/>
  <c r="P68" i="6"/>
  <c r="R59" i="6"/>
  <c r="P67" i="6"/>
  <c r="Q45" i="6"/>
  <c r="S59" i="6"/>
  <c r="S63" i="6"/>
  <c r="P62" i="6"/>
  <c r="S66" i="6"/>
  <c r="O84" i="6"/>
  <c r="O85" i="6" s="1"/>
  <c r="O95" i="6" s="1"/>
  <c r="O108" i="6" s="1"/>
  <c r="P83" i="6"/>
  <c r="P107" i="6"/>
  <c r="P94" i="6"/>
  <c r="Q90" i="6"/>
  <c r="P53" i="6" s="1"/>
  <c r="Q106" i="6"/>
  <c r="Q101" i="6"/>
  <c r="P64" i="6" s="1"/>
  <c r="Q88" i="6"/>
  <c r="Q97" i="6"/>
  <c r="P60" i="6" s="1"/>
  <c r="Q83" i="6"/>
  <c r="Q91" i="6"/>
  <c r="P54" i="6" s="1"/>
  <c r="R76" i="6"/>
  <c r="R112" i="6" s="1"/>
  <c r="Q93" i="6"/>
  <c r="Q87" i="6"/>
  <c r="P50" i="6" s="1"/>
  <c r="Q89" i="6"/>
  <c r="Q92" i="6"/>
  <c r="Q86" i="6"/>
  <c r="P89" i="6"/>
  <c r="H107" i="4"/>
  <c r="F108" i="4"/>
  <c r="K105" i="4"/>
  <c r="W74" i="4"/>
  <c r="AI74" i="4" s="1"/>
  <c r="AU74" i="4" s="1"/>
  <c r="BG74" i="4" s="1"/>
  <c r="K82" i="4"/>
  <c r="G107" i="4"/>
  <c r="K93" i="4"/>
  <c r="K106" i="4"/>
  <c r="K102" i="4"/>
  <c r="K97" i="4"/>
  <c r="K101" i="4"/>
  <c r="K98" i="4"/>
  <c r="L100" i="4"/>
  <c r="K91" i="4"/>
  <c r="K90" i="4"/>
  <c r="K89" i="4"/>
  <c r="J83" i="4"/>
  <c r="J84" i="4" s="1"/>
  <c r="L76" i="4"/>
  <c r="K79" i="4"/>
  <c r="K86" i="4"/>
  <c r="K87" i="4"/>
  <c r="K88" i="4"/>
  <c r="K85" i="4"/>
  <c r="L74" i="4"/>
  <c r="L92" i="4"/>
  <c r="M75" i="4"/>
  <c r="M96" i="4" l="1"/>
  <c r="M111" i="4"/>
  <c r="P46" i="6"/>
  <c r="O109" i="6"/>
  <c r="U21" i="6"/>
  <c r="U24" i="6"/>
  <c r="U25" i="6"/>
  <c r="U45" i="6"/>
  <c r="U27" i="6"/>
  <c r="U67" i="6"/>
  <c r="U66" i="6"/>
  <c r="U18" i="6"/>
  <c r="U42" i="6"/>
  <c r="U59" i="6"/>
  <c r="U63" i="6"/>
  <c r="P84" i="6"/>
  <c r="P85" i="6" s="1"/>
  <c r="P95" i="6" s="1"/>
  <c r="P108" i="6" s="1"/>
  <c r="P109" i="6" s="1"/>
  <c r="U22" i="6"/>
  <c r="U43" i="6"/>
  <c r="U68" i="6"/>
  <c r="U19" i="6"/>
  <c r="U44" i="6"/>
  <c r="R92" i="6"/>
  <c r="R90" i="6"/>
  <c r="R89" i="6"/>
  <c r="R86" i="6"/>
  <c r="R97" i="6"/>
  <c r="R83" i="6"/>
  <c r="R87" i="6"/>
  <c r="R106" i="6"/>
  <c r="R91" i="6"/>
  <c r="R88" i="6"/>
  <c r="S76" i="6"/>
  <c r="S112" i="6" s="1"/>
  <c r="R101" i="6"/>
  <c r="R93" i="6"/>
  <c r="U62" i="6"/>
  <c r="U29" i="6"/>
  <c r="U61" i="6"/>
  <c r="Q107" i="6"/>
  <c r="P70" i="6" s="1"/>
  <c r="Q94" i="6"/>
  <c r="Q84" i="6"/>
  <c r="Q85" i="6" s="1"/>
  <c r="Q95" i="6" s="1"/>
  <c r="Q108" i="6" s="1"/>
  <c r="U17" i="6"/>
  <c r="U41" i="6"/>
  <c r="U65" i="6"/>
  <c r="G108" i="4"/>
  <c r="L88" i="4"/>
  <c r="X74" i="4"/>
  <c r="AJ74" i="4" s="1"/>
  <c r="AV74" i="4" s="1"/>
  <c r="BH74" i="4" s="1"/>
  <c r="L105" i="4"/>
  <c r="K103" i="4"/>
  <c r="L82" i="4"/>
  <c r="L83" i="4" s="1"/>
  <c r="L84" i="4" s="1"/>
  <c r="L102" i="4"/>
  <c r="L93" i="4"/>
  <c r="L106" i="4"/>
  <c r="L97" i="4"/>
  <c r="M100" i="4"/>
  <c r="L98" i="4"/>
  <c r="L103" i="4" s="1"/>
  <c r="L104" i="4" s="1"/>
  <c r="L85" i="4"/>
  <c r="L101" i="4"/>
  <c r="J94" i="4"/>
  <c r="L90" i="4"/>
  <c r="L89" i="4"/>
  <c r="L87" i="4"/>
  <c r="L86" i="4"/>
  <c r="K83" i="4"/>
  <c r="K84" i="4" s="1"/>
  <c r="L91" i="4"/>
  <c r="L79" i="4"/>
  <c r="M76" i="4"/>
  <c r="M92" i="4"/>
  <c r="N75" i="4"/>
  <c r="M74" i="4"/>
  <c r="N96" i="4" l="1"/>
  <c r="N111" i="4"/>
  <c r="Q109" i="6"/>
  <c r="R107" i="6"/>
  <c r="R94" i="6"/>
  <c r="S97" i="6"/>
  <c r="S87" i="6"/>
  <c r="S101" i="6"/>
  <c r="S93" i="6"/>
  <c r="S88" i="6"/>
  <c r="S89" i="6"/>
  <c r="S86" i="6"/>
  <c r="S83" i="6"/>
  <c r="S90" i="6"/>
  <c r="T76" i="6"/>
  <c r="T112" i="6" s="1"/>
  <c r="S106" i="6"/>
  <c r="S92" i="6"/>
  <c r="S91" i="6"/>
  <c r="R84" i="6"/>
  <c r="R85" i="6" s="1"/>
  <c r="H108" i="4"/>
  <c r="I108" i="4" s="1"/>
  <c r="K104" i="4"/>
  <c r="M86" i="4"/>
  <c r="Y74" i="4"/>
  <c r="AK74" i="4" s="1"/>
  <c r="AW74" i="4" s="1"/>
  <c r="BI74" i="4" s="1"/>
  <c r="M82" i="4"/>
  <c r="M105" i="4"/>
  <c r="J107" i="4"/>
  <c r="M98" i="4"/>
  <c r="M103" i="4" s="1"/>
  <c r="M104" i="4" s="1"/>
  <c r="M93" i="4"/>
  <c r="M106" i="4"/>
  <c r="N100" i="4"/>
  <c r="M97" i="4"/>
  <c r="M102" i="4"/>
  <c r="M101" i="4"/>
  <c r="K94" i="4"/>
  <c r="N76" i="4"/>
  <c r="N105" i="4" s="1"/>
  <c r="M90" i="4"/>
  <c r="M89" i="4"/>
  <c r="M91" i="4"/>
  <c r="M79" i="4"/>
  <c r="L94" i="4"/>
  <c r="L107" i="4" s="1"/>
  <c r="M87" i="4"/>
  <c r="M85" i="4"/>
  <c r="M88" i="4"/>
  <c r="N92" i="4"/>
  <c r="O75" i="4"/>
  <c r="N74" i="4"/>
  <c r="O96" i="4" l="1"/>
  <c r="O111" i="4"/>
  <c r="R95" i="6"/>
  <c r="R108" i="6" s="1"/>
  <c r="R109" i="6" s="1"/>
  <c r="S107" i="6"/>
  <c r="S94" i="6"/>
  <c r="T91" i="6"/>
  <c r="T106" i="6"/>
  <c r="T97" i="6"/>
  <c r="T83" i="6"/>
  <c r="T87" i="6"/>
  <c r="T90" i="6"/>
  <c r="T89" i="6"/>
  <c r="T86" i="6"/>
  <c r="T88" i="6"/>
  <c r="T101" i="6"/>
  <c r="T93" i="6"/>
  <c r="T92" i="6"/>
  <c r="U76" i="6"/>
  <c r="U112" i="6" s="1"/>
  <c r="S84" i="6"/>
  <c r="S85" i="6" s="1"/>
  <c r="J108" i="4"/>
  <c r="N87" i="4"/>
  <c r="Z74" i="4"/>
  <c r="AL74" i="4" s="1"/>
  <c r="AX74" i="4" s="1"/>
  <c r="BJ74" i="4" s="1"/>
  <c r="N82" i="4"/>
  <c r="K107" i="4"/>
  <c r="N102" i="4"/>
  <c r="N93" i="4"/>
  <c r="N106" i="4"/>
  <c r="N98" i="4"/>
  <c r="N103" i="4" s="1"/>
  <c r="N104" i="4" s="1"/>
  <c r="N101" i="4"/>
  <c r="N97" i="4"/>
  <c r="O100" i="4"/>
  <c r="N90" i="4"/>
  <c r="N88" i="4"/>
  <c r="N91" i="4"/>
  <c r="N79" i="4"/>
  <c r="O76" i="4"/>
  <c r="O105" i="4" s="1"/>
  <c r="N89" i="4"/>
  <c r="M83" i="4"/>
  <c r="M84" i="4" s="1"/>
  <c r="N85" i="4"/>
  <c r="N86" i="4"/>
  <c r="O92" i="4"/>
  <c r="P75" i="4"/>
  <c r="O74" i="4"/>
  <c r="P96" i="4" l="1"/>
  <c r="P111" i="4"/>
  <c r="S95" i="6"/>
  <c r="S108" i="6" s="1"/>
  <c r="S109" i="6" s="1"/>
  <c r="T84" i="6"/>
  <c r="T85" i="6" s="1"/>
  <c r="T107" i="6"/>
  <c r="T94" i="6"/>
  <c r="U101" i="6"/>
  <c r="U88" i="6"/>
  <c r="U97" i="6"/>
  <c r="U83" i="6"/>
  <c r="U87" i="6"/>
  <c r="U93" i="6"/>
  <c r="U89" i="6"/>
  <c r="U86" i="6"/>
  <c r="U106" i="6"/>
  <c r="U92" i="6"/>
  <c r="U90" i="6"/>
  <c r="V76" i="6"/>
  <c r="V112" i="6" s="1"/>
  <c r="U91" i="6"/>
  <c r="K108" i="4"/>
  <c r="L108" i="4" s="1"/>
  <c r="AA74" i="4"/>
  <c r="AM74" i="4" s="1"/>
  <c r="AY74" i="4" s="1"/>
  <c r="BK74" i="4" s="1"/>
  <c r="O82" i="4"/>
  <c r="O93" i="4"/>
  <c r="O106" i="4"/>
  <c r="O101" i="4"/>
  <c r="O98" i="4"/>
  <c r="O103" i="4" s="1"/>
  <c r="O104" i="4" s="1"/>
  <c r="O102" i="4"/>
  <c r="O97" i="4"/>
  <c r="P100" i="4"/>
  <c r="M94" i="4"/>
  <c r="P76" i="4"/>
  <c r="P105" i="4" s="1"/>
  <c r="O91" i="4"/>
  <c r="O90" i="4"/>
  <c r="O89" i="4"/>
  <c r="N83" i="4"/>
  <c r="N84" i="4" s="1"/>
  <c r="O79" i="4"/>
  <c r="O87" i="4"/>
  <c r="O85" i="4"/>
  <c r="O88" i="4"/>
  <c r="O86" i="4"/>
  <c r="P92" i="4"/>
  <c r="Q75" i="4"/>
  <c r="P74" i="4"/>
  <c r="Q96" i="4" l="1"/>
  <c r="Q111" i="4"/>
  <c r="T95" i="6"/>
  <c r="T108" i="6" s="1"/>
  <c r="T109" i="6" s="1"/>
  <c r="V101" i="6"/>
  <c r="V93" i="6"/>
  <c r="V88" i="6"/>
  <c r="V89" i="6"/>
  <c r="V83" i="6"/>
  <c r="V87" i="6"/>
  <c r="V92" i="6"/>
  <c r="V106" i="6"/>
  <c r="V97" i="6"/>
  <c r="V90" i="6"/>
  <c r="V86" i="6"/>
  <c r="W76" i="6"/>
  <c r="W112" i="6" s="1"/>
  <c r="V91" i="6"/>
  <c r="U107" i="6"/>
  <c r="U94" i="6"/>
  <c r="U84" i="6"/>
  <c r="U85" i="6" s="1"/>
  <c r="P86" i="4"/>
  <c r="AB74" i="4"/>
  <c r="AN74" i="4" s="1"/>
  <c r="AZ74" i="4" s="1"/>
  <c r="BL74" i="4" s="1"/>
  <c r="P82" i="4"/>
  <c r="M107" i="4"/>
  <c r="M108" i="4" s="1"/>
  <c r="P93" i="4"/>
  <c r="P106" i="4"/>
  <c r="Q100" i="4"/>
  <c r="P97" i="4"/>
  <c r="P101" i="4"/>
  <c r="P98" i="4"/>
  <c r="P103" i="4" s="1"/>
  <c r="P104" i="4" s="1"/>
  <c r="P102" i="4"/>
  <c r="P79" i="4"/>
  <c r="N94" i="4"/>
  <c r="O83" i="4"/>
  <c r="O84" i="4" s="1"/>
  <c r="O94" i="4" s="1"/>
  <c r="O107" i="4" s="1"/>
  <c r="Q76" i="4"/>
  <c r="P89" i="4"/>
  <c r="P91" i="4"/>
  <c r="P90" i="4"/>
  <c r="P87" i="4"/>
  <c r="P85" i="4"/>
  <c r="P88" i="4"/>
  <c r="Q92" i="4"/>
  <c r="R75" i="4"/>
  <c r="R96" i="4" l="1"/>
  <c r="R111" i="4"/>
  <c r="U95" i="6"/>
  <c r="U108" i="6" s="1"/>
  <c r="U109" i="6"/>
  <c r="V84" i="6"/>
  <c r="V85" i="6" s="1"/>
  <c r="V94" i="6"/>
  <c r="V107" i="6"/>
  <c r="W92" i="6"/>
  <c r="W101" i="6"/>
  <c r="W88" i="6"/>
  <c r="W87" i="6"/>
  <c r="W93" i="6"/>
  <c r="W106" i="6"/>
  <c r="W91" i="6"/>
  <c r="W97" i="6"/>
  <c r="W90" i="6"/>
  <c r="X76" i="6"/>
  <c r="X112" i="6" s="1"/>
  <c r="W86" i="6"/>
  <c r="W83" i="6"/>
  <c r="W89" i="6"/>
  <c r="P58" i="4"/>
  <c r="P43" i="4"/>
  <c r="P62" i="4"/>
  <c r="Q62" i="4"/>
  <c r="Q58" i="4"/>
  <c r="P63" i="4"/>
  <c r="P59" i="4"/>
  <c r="T58" i="4"/>
  <c r="S62" i="4"/>
  <c r="T62" i="4"/>
  <c r="R62" i="4"/>
  <c r="R58" i="4"/>
  <c r="S58" i="4"/>
  <c r="Q82" i="4"/>
  <c r="P45" i="4" s="1"/>
  <c r="Q105" i="4"/>
  <c r="P68" i="4" s="1"/>
  <c r="P41" i="4"/>
  <c r="U17" i="4" s="1"/>
  <c r="P44" i="4"/>
  <c r="P40" i="4"/>
  <c r="U16" i="4" s="1"/>
  <c r="Q40" i="4"/>
  <c r="T40" i="4"/>
  <c r="Q41" i="4"/>
  <c r="R43" i="4"/>
  <c r="Q44" i="4"/>
  <c r="T44" i="4"/>
  <c r="R40" i="4"/>
  <c r="T43" i="4"/>
  <c r="S43" i="4"/>
  <c r="T41" i="4"/>
  <c r="P55" i="4"/>
  <c r="Q43" i="4"/>
  <c r="R41" i="4"/>
  <c r="S41" i="4"/>
  <c r="R44" i="4"/>
  <c r="S44" i="4"/>
  <c r="S40" i="4"/>
  <c r="N107" i="4"/>
  <c r="N108" i="4" s="1"/>
  <c r="O108" i="4" s="1"/>
  <c r="Q93" i="4"/>
  <c r="Q106" i="4"/>
  <c r="R100" i="4"/>
  <c r="Q102" i="4"/>
  <c r="Q98" i="4"/>
  <c r="Q103" i="4" s="1"/>
  <c r="Q104" i="4" s="1"/>
  <c r="P67" i="4" s="1"/>
  <c r="Q97" i="4"/>
  <c r="Q101" i="4"/>
  <c r="R76" i="4"/>
  <c r="R105" i="4" s="1"/>
  <c r="Q89" i="4"/>
  <c r="P52" i="4" s="1"/>
  <c r="Q90" i="4"/>
  <c r="P53" i="4" s="1"/>
  <c r="Q91" i="4"/>
  <c r="P54" i="4" s="1"/>
  <c r="P83" i="4"/>
  <c r="P84" i="4" s="1"/>
  <c r="P94" i="4" s="1"/>
  <c r="P107" i="4" s="1"/>
  <c r="Q79" i="4"/>
  <c r="Q85" i="4"/>
  <c r="P48" i="4" s="1"/>
  <c r="Q87" i="4"/>
  <c r="P50" i="4" s="1"/>
  <c r="Q88" i="4"/>
  <c r="P51" i="4" s="1"/>
  <c r="Q86" i="4"/>
  <c r="P49" i="4" s="1"/>
  <c r="R92" i="4"/>
  <c r="S75" i="4"/>
  <c r="S96" i="4" l="1"/>
  <c r="S111" i="4"/>
  <c r="U27" i="4"/>
  <c r="V95" i="6"/>
  <c r="V108" i="6" s="1"/>
  <c r="V109" i="6" s="1"/>
  <c r="W107" i="6"/>
  <c r="W94" i="6"/>
  <c r="X97" i="6"/>
  <c r="X87" i="6"/>
  <c r="X93" i="6"/>
  <c r="X92" i="6"/>
  <c r="X106" i="6"/>
  <c r="X91" i="6"/>
  <c r="X101" i="6"/>
  <c r="X88" i="6"/>
  <c r="X89" i="6"/>
  <c r="X86" i="6"/>
  <c r="Y76" i="6"/>
  <c r="Y112" i="6" s="1"/>
  <c r="X90" i="6"/>
  <c r="X83" i="6"/>
  <c r="W84" i="6"/>
  <c r="W85" i="6" s="1"/>
  <c r="U18" i="4"/>
  <c r="Q83" i="4"/>
  <c r="P46" i="4" s="1"/>
  <c r="U62" i="4"/>
  <c r="U58" i="4"/>
  <c r="R82" i="4"/>
  <c r="R93" i="4"/>
  <c r="R106" i="4"/>
  <c r="R79" i="4"/>
  <c r="R98" i="4"/>
  <c r="R97" i="4"/>
  <c r="R101" i="4"/>
  <c r="R102" i="4"/>
  <c r="S100" i="4"/>
  <c r="R91" i="4"/>
  <c r="R89" i="4"/>
  <c r="R90" i="4"/>
  <c r="S76" i="4"/>
  <c r="R88" i="4"/>
  <c r="R87" i="4"/>
  <c r="R86" i="4"/>
  <c r="R85" i="4"/>
  <c r="P108" i="4"/>
  <c r="S92" i="4"/>
  <c r="T75" i="4"/>
  <c r="T96" i="4" l="1"/>
  <c r="T111" i="4"/>
  <c r="X84" i="6"/>
  <c r="X85" i="6"/>
  <c r="Y106" i="6"/>
  <c r="Y89" i="6"/>
  <c r="Y90" i="6"/>
  <c r="Y97" i="6"/>
  <c r="Y83" i="6"/>
  <c r="Y93" i="6"/>
  <c r="Y92" i="6"/>
  <c r="Y91" i="6"/>
  <c r="Y101" i="6"/>
  <c r="Y88" i="6"/>
  <c r="Y87" i="6"/>
  <c r="Z76" i="6"/>
  <c r="Z112" i="6" s="1"/>
  <c r="Y86" i="6"/>
  <c r="X94" i="6"/>
  <c r="X107" i="6"/>
  <c r="W95" i="6"/>
  <c r="W108" i="6" s="1"/>
  <c r="W109" i="6" s="1"/>
  <c r="Q84" i="4"/>
  <c r="P47" i="4" s="1"/>
  <c r="U25" i="4" s="1"/>
  <c r="R103" i="4"/>
  <c r="S82" i="4"/>
  <c r="S105" i="4"/>
  <c r="S93" i="4"/>
  <c r="S106" i="4"/>
  <c r="T100" i="4"/>
  <c r="S98" i="4"/>
  <c r="S103" i="4" s="1"/>
  <c r="S104" i="4" s="1"/>
  <c r="S97" i="4"/>
  <c r="S102" i="4"/>
  <c r="S101" i="4"/>
  <c r="S91" i="4"/>
  <c r="S90" i="4"/>
  <c r="S89" i="4"/>
  <c r="T76" i="4"/>
  <c r="T105" i="4" s="1"/>
  <c r="S79" i="4"/>
  <c r="S85" i="4"/>
  <c r="S86" i="4"/>
  <c r="S87" i="4"/>
  <c r="S88" i="4"/>
  <c r="R83" i="4"/>
  <c r="U75" i="4"/>
  <c r="T92" i="4"/>
  <c r="T87" i="4"/>
  <c r="U96" i="4" l="1"/>
  <c r="U111" i="4"/>
  <c r="X95" i="6"/>
  <c r="X108" i="6" s="1"/>
  <c r="X109" i="6" s="1"/>
  <c r="Z83" i="6"/>
  <c r="Z93" i="6"/>
  <c r="Z92" i="6"/>
  <c r="Z91" i="6"/>
  <c r="Z106" i="6"/>
  <c r="Z90" i="6"/>
  <c r="Z86" i="6"/>
  <c r="Z97" i="6"/>
  <c r="Z88" i="6"/>
  <c r="Z101" i="6"/>
  <c r="Z87" i="6"/>
  <c r="Z89" i="6"/>
  <c r="AA76" i="6"/>
  <c r="AA112" i="6" s="1"/>
  <c r="Y84" i="6"/>
  <c r="Y85" i="6" s="1"/>
  <c r="Y107" i="6"/>
  <c r="Y94" i="6"/>
  <c r="Q94" i="4"/>
  <c r="Q107" i="4" s="1"/>
  <c r="Q108" i="4" s="1"/>
  <c r="R104" i="4"/>
  <c r="R84" i="4"/>
  <c r="T82" i="4"/>
  <c r="T93" i="4"/>
  <c r="T106" i="4"/>
  <c r="U100" i="4"/>
  <c r="T98" i="4"/>
  <c r="T103" i="4" s="1"/>
  <c r="T104" i="4" s="1"/>
  <c r="T101" i="4"/>
  <c r="T97" i="4"/>
  <c r="T102" i="4"/>
  <c r="T79" i="4"/>
  <c r="S83" i="4"/>
  <c r="S84" i="4" s="1"/>
  <c r="S94" i="4" s="1"/>
  <c r="S107" i="4" s="1"/>
  <c r="T89" i="4"/>
  <c r="T91" i="4"/>
  <c r="T90" i="4"/>
  <c r="U76" i="4"/>
  <c r="U105" i="4" s="1"/>
  <c r="T88" i="4"/>
  <c r="T85" i="4"/>
  <c r="T86" i="4"/>
  <c r="V75" i="4"/>
  <c r="U92" i="4"/>
  <c r="V96" i="4" l="1"/>
  <c r="V111" i="4"/>
  <c r="Y95" i="6"/>
  <c r="Y108" i="6" s="1"/>
  <c r="Y109" i="6" s="1"/>
  <c r="Z94" i="6"/>
  <c r="Z107" i="6"/>
  <c r="AA101" i="6"/>
  <c r="AA93" i="6"/>
  <c r="AA97" i="6"/>
  <c r="AA106" i="6"/>
  <c r="AA87" i="6"/>
  <c r="AA92" i="6"/>
  <c r="AA91" i="6"/>
  <c r="AA90" i="6"/>
  <c r="AA86" i="6"/>
  <c r="AA83" i="6"/>
  <c r="AA89" i="6"/>
  <c r="AB76" i="6"/>
  <c r="AB112" i="6" s="1"/>
  <c r="AA88" i="6"/>
  <c r="Z84" i="6"/>
  <c r="Z85" i="6" s="1"/>
  <c r="U82" i="4"/>
  <c r="U93" i="4"/>
  <c r="U106" i="4"/>
  <c r="U101" i="4"/>
  <c r="U97" i="4"/>
  <c r="U98" i="4"/>
  <c r="U102" i="4"/>
  <c r="V100" i="4"/>
  <c r="U79" i="4"/>
  <c r="U89" i="4"/>
  <c r="U90" i="4"/>
  <c r="U91" i="4"/>
  <c r="V76" i="4"/>
  <c r="T83" i="4"/>
  <c r="R94" i="4"/>
  <c r="R107" i="4" s="1"/>
  <c r="U87" i="4"/>
  <c r="U86" i="4"/>
  <c r="U88" i="4"/>
  <c r="U85" i="4"/>
  <c r="W75" i="4"/>
  <c r="V92" i="4"/>
  <c r="V88" i="4"/>
  <c r="W96" i="4" l="1"/>
  <c r="W111" i="4"/>
  <c r="Z95" i="6"/>
  <c r="Z108" i="6" s="1"/>
  <c r="Z109" i="6"/>
  <c r="AB90" i="6"/>
  <c r="AB91" i="6"/>
  <c r="AB87" i="6"/>
  <c r="AB93" i="6"/>
  <c r="AB92" i="6"/>
  <c r="AB106" i="6"/>
  <c r="AB86" i="6"/>
  <c r="AB89" i="6"/>
  <c r="AB97" i="6"/>
  <c r="AB101" i="6"/>
  <c r="AB83" i="6"/>
  <c r="AC76" i="6"/>
  <c r="AC112" i="6" s="1"/>
  <c r="AB88" i="6"/>
  <c r="AA84" i="6"/>
  <c r="AA85" i="6" s="1"/>
  <c r="AA94" i="6"/>
  <c r="AA107" i="6"/>
  <c r="U103" i="4"/>
  <c r="T84" i="4"/>
  <c r="V82" i="4"/>
  <c r="V105" i="4"/>
  <c r="V93" i="4"/>
  <c r="V106" i="4"/>
  <c r="W100" i="4"/>
  <c r="V98" i="4"/>
  <c r="V103" i="4" s="1"/>
  <c r="V104" i="4" s="1"/>
  <c r="V101" i="4"/>
  <c r="V102" i="4"/>
  <c r="V97" i="4"/>
  <c r="V85" i="4"/>
  <c r="U83" i="4"/>
  <c r="V89" i="4"/>
  <c r="V90" i="4"/>
  <c r="V91" i="4"/>
  <c r="W76" i="4"/>
  <c r="W105" i="4" s="1"/>
  <c r="V79" i="4"/>
  <c r="V86" i="4"/>
  <c r="V87" i="4"/>
  <c r="R108" i="4"/>
  <c r="S108" i="4" s="1"/>
  <c r="X75" i="4"/>
  <c r="W92" i="4"/>
  <c r="W85" i="4"/>
  <c r="X96" i="4" l="1"/>
  <c r="X111" i="4"/>
  <c r="AA95" i="6"/>
  <c r="AA108" i="6" s="1"/>
  <c r="AA109" i="6" s="1"/>
  <c r="AB84" i="6"/>
  <c r="AB85" i="6"/>
  <c r="AC101" i="6"/>
  <c r="AC91" i="6"/>
  <c r="AC106" i="6"/>
  <c r="AC86" i="6"/>
  <c r="AC90" i="6"/>
  <c r="AC89" i="6"/>
  <c r="AC87" i="6"/>
  <c r="AC88" i="6"/>
  <c r="AC83" i="6"/>
  <c r="AC93" i="6"/>
  <c r="AC92" i="6"/>
  <c r="AD76" i="6"/>
  <c r="AD112" i="6" s="1"/>
  <c r="AC97" i="6"/>
  <c r="AB107" i="6"/>
  <c r="AB94" i="6"/>
  <c r="U104" i="4"/>
  <c r="W82" i="4"/>
  <c r="W93" i="4"/>
  <c r="W106" i="4"/>
  <c r="X100" i="4"/>
  <c r="W101" i="4"/>
  <c r="W102" i="4"/>
  <c r="W97" i="4"/>
  <c r="W98" i="4"/>
  <c r="W103" i="4" s="1"/>
  <c r="W104" i="4" s="1"/>
  <c r="U84" i="4"/>
  <c r="U94" i="4" s="1"/>
  <c r="W91" i="4"/>
  <c r="W89" i="4"/>
  <c r="W90" i="4"/>
  <c r="X76" i="4"/>
  <c r="X105" i="4" s="1"/>
  <c r="W79" i="4"/>
  <c r="V83" i="4"/>
  <c r="W86" i="4"/>
  <c r="W88" i="4"/>
  <c r="W87" i="4"/>
  <c r="T94" i="4"/>
  <c r="T107" i="4" s="1"/>
  <c r="Y75" i="4"/>
  <c r="X92" i="4"/>
  <c r="Y96" i="4" l="1"/>
  <c r="Y111" i="4"/>
  <c r="AB95" i="6"/>
  <c r="AB108" i="6" s="1"/>
  <c r="AB109" i="6" s="1"/>
  <c r="AC107" i="6"/>
  <c r="AC94" i="6"/>
  <c r="AD89" i="6"/>
  <c r="AD97" i="6"/>
  <c r="AD106" i="6"/>
  <c r="AD91" i="6"/>
  <c r="AD86" i="6"/>
  <c r="AD90" i="6"/>
  <c r="AD88" i="6"/>
  <c r="AD87" i="6"/>
  <c r="AD101" i="6"/>
  <c r="AE76" i="6"/>
  <c r="AE112" i="6" s="1"/>
  <c r="AD93" i="6"/>
  <c r="AD92" i="6"/>
  <c r="AD83" i="6"/>
  <c r="AC84" i="6"/>
  <c r="AC85" i="6" s="1"/>
  <c r="U107" i="4"/>
  <c r="X82" i="4"/>
  <c r="X93" i="4"/>
  <c r="X106" i="4"/>
  <c r="Y100" i="4"/>
  <c r="X98" i="4"/>
  <c r="X103" i="4" s="1"/>
  <c r="X104" i="4" s="1"/>
  <c r="X101" i="4"/>
  <c r="X102" i="4"/>
  <c r="X97" i="4"/>
  <c r="X89" i="4"/>
  <c r="X91" i="4"/>
  <c r="X90" i="4"/>
  <c r="Y76" i="4"/>
  <c r="Y105" i="4" s="1"/>
  <c r="X79" i="4"/>
  <c r="V84" i="4"/>
  <c r="V94" i="4" s="1"/>
  <c r="V107" i="4" s="1"/>
  <c r="W83" i="4"/>
  <c r="X88" i="4"/>
  <c r="X87" i="4"/>
  <c r="X86" i="4"/>
  <c r="T108" i="4"/>
  <c r="X85" i="4"/>
  <c r="Z75" i="4"/>
  <c r="Y92" i="4"/>
  <c r="Y88" i="4"/>
  <c r="Z96" i="4" l="1"/>
  <c r="Z111" i="4"/>
  <c r="AC95" i="6"/>
  <c r="AC108" i="6" s="1"/>
  <c r="AC109" i="6" s="1"/>
  <c r="AD107" i="6"/>
  <c r="AD94" i="6"/>
  <c r="AD84" i="6"/>
  <c r="AE91" i="6"/>
  <c r="AE92" i="6"/>
  <c r="AE93" i="6"/>
  <c r="AE86" i="6"/>
  <c r="AE106" i="6"/>
  <c r="AE90" i="6"/>
  <c r="AE89" i="6"/>
  <c r="AE88" i="6"/>
  <c r="AE101" i="6"/>
  <c r="AE87" i="6"/>
  <c r="AE83" i="6"/>
  <c r="AF76" i="6"/>
  <c r="AF112" i="6" s="1"/>
  <c r="AE97" i="6"/>
  <c r="U108" i="4"/>
  <c r="V108" i="4" s="1"/>
  <c r="Y82" i="4"/>
  <c r="Y93" i="4"/>
  <c r="Y106" i="4"/>
  <c r="Z100" i="4"/>
  <c r="Y101" i="4"/>
  <c r="Y98" i="4"/>
  <c r="Y103" i="4" s="1"/>
  <c r="Y104" i="4" s="1"/>
  <c r="Y102" i="4"/>
  <c r="Y97" i="4"/>
  <c r="W84" i="4"/>
  <c r="W94" i="4" s="1"/>
  <c r="W107" i="4" s="1"/>
  <c r="Y90" i="4"/>
  <c r="Y91" i="4"/>
  <c r="Y89" i="4"/>
  <c r="Z76" i="4"/>
  <c r="Z105" i="4" s="1"/>
  <c r="Y79" i="4"/>
  <c r="X83" i="4"/>
  <c r="X84" i="4" s="1"/>
  <c r="Y86" i="4"/>
  <c r="Y87" i="4"/>
  <c r="Y85" i="4"/>
  <c r="Z92" i="4"/>
  <c r="AA75" i="4"/>
  <c r="Z85" i="4"/>
  <c r="AA96" i="4" l="1"/>
  <c r="AA111" i="4"/>
  <c r="AE84" i="6"/>
  <c r="AE94" i="6"/>
  <c r="AE107" i="6"/>
  <c r="AD85" i="6"/>
  <c r="AF86" i="6"/>
  <c r="AF87" i="6"/>
  <c r="AF93" i="6"/>
  <c r="AF92" i="6"/>
  <c r="AF106" i="6"/>
  <c r="AF90" i="6"/>
  <c r="AF89" i="6"/>
  <c r="AF88" i="6"/>
  <c r="AF101" i="6"/>
  <c r="AF83" i="6"/>
  <c r="AG76" i="6"/>
  <c r="AG112" i="6" s="1"/>
  <c r="AF91" i="6"/>
  <c r="AF97" i="6"/>
  <c r="Z82" i="4"/>
  <c r="Z93" i="4"/>
  <c r="Z106" i="4"/>
  <c r="Z102" i="4"/>
  <c r="Z97" i="4"/>
  <c r="Z101" i="4"/>
  <c r="Z98" i="4"/>
  <c r="Z103" i="4" s="1"/>
  <c r="Z104" i="4" s="1"/>
  <c r="AA100" i="4"/>
  <c r="W108" i="4"/>
  <c r="Y83" i="4"/>
  <c r="Y84" i="4" s="1"/>
  <c r="Z90" i="4"/>
  <c r="Z89" i="4"/>
  <c r="Z91" i="4"/>
  <c r="AA76" i="4"/>
  <c r="AA105" i="4" s="1"/>
  <c r="Z79" i="4"/>
  <c r="Z86" i="4"/>
  <c r="Z87" i="4"/>
  <c r="X94" i="4"/>
  <c r="X107" i="4" s="1"/>
  <c r="Z88" i="4"/>
  <c r="AB75" i="4"/>
  <c r="AA92" i="4"/>
  <c r="AB96" i="4" l="1"/>
  <c r="AB111" i="4"/>
  <c r="AF94" i="6"/>
  <c r="AF107" i="6"/>
  <c r="AD95" i="6"/>
  <c r="AD108" i="6" s="1"/>
  <c r="AD109" i="6" s="1"/>
  <c r="AF84" i="6"/>
  <c r="AF85" i="6" s="1"/>
  <c r="AG90" i="6"/>
  <c r="AG106" i="6"/>
  <c r="AG92" i="6"/>
  <c r="AG89" i="6"/>
  <c r="AG88" i="6"/>
  <c r="AG101" i="6"/>
  <c r="AG83" i="6"/>
  <c r="AG93" i="6"/>
  <c r="AG87" i="6"/>
  <c r="AG91" i="6"/>
  <c r="AH76" i="6"/>
  <c r="AH112" i="6" s="1"/>
  <c r="AG97" i="6"/>
  <c r="AG86" i="6"/>
  <c r="AE85" i="6"/>
  <c r="AE95" i="6" s="1"/>
  <c r="AE108" i="6" s="1"/>
  <c r="AA82" i="4"/>
  <c r="AA93" i="4"/>
  <c r="AA106" i="4"/>
  <c r="AB100" i="4"/>
  <c r="AA101" i="4"/>
  <c r="AA97" i="4"/>
  <c r="AA102" i="4"/>
  <c r="AA98" i="4"/>
  <c r="AA103" i="4" s="1"/>
  <c r="AA104" i="4" s="1"/>
  <c r="Y94" i="4"/>
  <c r="Y107" i="4" s="1"/>
  <c r="AA79" i="4"/>
  <c r="AA91" i="4"/>
  <c r="AA89" i="4"/>
  <c r="AA90" i="4"/>
  <c r="AB76" i="4"/>
  <c r="Z83" i="4"/>
  <c r="AA86" i="4"/>
  <c r="AA87" i="4"/>
  <c r="X108" i="4"/>
  <c r="AA85" i="4"/>
  <c r="AA88" i="4"/>
  <c r="AB92" i="4"/>
  <c r="AC75" i="4"/>
  <c r="AB86" i="4"/>
  <c r="AC96" i="4" l="1"/>
  <c r="AC111" i="4"/>
  <c r="AE109" i="6"/>
  <c r="AF95" i="6"/>
  <c r="AF108" i="6" s="1"/>
  <c r="AG107" i="6"/>
  <c r="AG94" i="6"/>
  <c r="AH92" i="6"/>
  <c r="AH91" i="6"/>
  <c r="AH89" i="6"/>
  <c r="AH88" i="6"/>
  <c r="AH101" i="6"/>
  <c r="AH83" i="6"/>
  <c r="AH97" i="6"/>
  <c r="AH93" i="6"/>
  <c r="AH106" i="6"/>
  <c r="AH87" i="6"/>
  <c r="AI76" i="6"/>
  <c r="AI112" i="6" s="1"/>
  <c r="AH86" i="6"/>
  <c r="AH90" i="6"/>
  <c r="AG84" i="6"/>
  <c r="AG85" i="6" s="1"/>
  <c r="AB82" i="4"/>
  <c r="AB105" i="4"/>
  <c r="AB93" i="4"/>
  <c r="AB106" i="4"/>
  <c r="AC100" i="4"/>
  <c r="Y108" i="4"/>
  <c r="AB97" i="4"/>
  <c r="AB102" i="4"/>
  <c r="AB98" i="4"/>
  <c r="AB103" i="4" s="1"/>
  <c r="AB104" i="4" s="1"/>
  <c r="AB101" i="4"/>
  <c r="Z84" i="4"/>
  <c r="Z94" i="4" s="1"/>
  <c r="Z107" i="4" s="1"/>
  <c r="AB90" i="4"/>
  <c r="AB91" i="4"/>
  <c r="AB89" i="4"/>
  <c r="AC76" i="4"/>
  <c r="AC105" i="4" s="1"/>
  <c r="AB79" i="4"/>
  <c r="AA83" i="4"/>
  <c r="AA84" i="4" s="1"/>
  <c r="AA94" i="4" s="1"/>
  <c r="AA107" i="4" s="1"/>
  <c r="AB87" i="4"/>
  <c r="AB88" i="4"/>
  <c r="AB85" i="4"/>
  <c r="AC92" i="4"/>
  <c r="AD75" i="4"/>
  <c r="AC86" i="4"/>
  <c r="AD96" i="4" l="1"/>
  <c r="AD111" i="4"/>
  <c r="AF109" i="6"/>
  <c r="AG95" i="6"/>
  <c r="AG108" i="6" s="1"/>
  <c r="AG109" i="6" s="1"/>
  <c r="AH84" i="6"/>
  <c r="AH85" i="6" s="1"/>
  <c r="AH95" i="6" s="1"/>
  <c r="AI97" i="6"/>
  <c r="AI87" i="6"/>
  <c r="AI101" i="6"/>
  <c r="AI93" i="6"/>
  <c r="AI88" i="6"/>
  <c r="AI91" i="6"/>
  <c r="AI86" i="6"/>
  <c r="AI83" i="6"/>
  <c r="AJ76" i="6"/>
  <c r="AJ112" i="6" s="1"/>
  <c r="AI92" i="6"/>
  <c r="AI106" i="6"/>
  <c r="AI90" i="6"/>
  <c r="AI89" i="6"/>
  <c r="AH107" i="6"/>
  <c r="AH94" i="6"/>
  <c r="AC82" i="4"/>
  <c r="AC93" i="4"/>
  <c r="AC106" i="4"/>
  <c r="Z108" i="4"/>
  <c r="AA108" i="4" s="1"/>
  <c r="AC97" i="4"/>
  <c r="AC98" i="4"/>
  <c r="AC103" i="4" s="1"/>
  <c r="AC104" i="4" s="1"/>
  <c r="AC101" i="4"/>
  <c r="AC102" i="4"/>
  <c r="AD100" i="4"/>
  <c r="AC91" i="4"/>
  <c r="AC90" i="4"/>
  <c r="AC89" i="4"/>
  <c r="AD76" i="4"/>
  <c r="AD105" i="4" s="1"/>
  <c r="AB83" i="4"/>
  <c r="AC79" i="4"/>
  <c r="AC87" i="4"/>
  <c r="AC85" i="4"/>
  <c r="AC88" i="4"/>
  <c r="AD92" i="4"/>
  <c r="AE75" i="4"/>
  <c r="AD87" i="4"/>
  <c r="AE96" i="4" l="1"/>
  <c r="AE111" i="4"/>
  <c r="AH108" i="6"/>
  <c r="AH109" i="6" s="1"/>
  <c r="AI84" i="6"/>
  <c r="AI85" i="6" s="1"/>
  <c r="AI107" i="6"/>
  <c r="AI94" i="6"/>
  <c r="AJ91" i="6"/>
  <c r="AJ106" i="6"/>
  <c r="AJ86" i="6"/>
  <c r="AJ90" i="6"/>
  <c r="AJ88" i="6"/>
  <c r="AJ101" i="6"/>
  <c r="AJ83" i="6"/>
  <c r="AK76" i="6"/>
  <c r="AK112" i="6" s="1"/>
  <c r="AJ97" i="6"/>
  <c r="AJ92" i="6"/>
  <c r="AJ93" i="6"/>
  <c r="AJ87" i="6"/>
  <c r="AJ89" i="6"/>
  <c r="AD82" i="4"/>
  <c r="AD93" i="4"/>
  <c r="AD106" i="4"/>
  <c r="AE100" i="4"/>
  <c r="AD97" i="4"/>
  <c r="AD102" i="4"/>
  <c r="AD98" i="4"/>
  <c r="AD101" i="4"/>
  <c r="AB84" i="4"/>
  <c r="AB94" i="4" s="1"/>
  <c r="AD79" i="4"/>
  <c r="AD88" i="4"/>
  <c r="AD90" i="4"/>
  <c r="AD91" i="4"/>
  <c r="AD89" i="4"/>
  <c r="AE76" i="4"/>
  <c r="AD85" i="4"/>
  <c r="AD86" i="4"/>
  <c r="AC83" i="4"/>
  <c r="AC84" i="4" s="1"/>
  <c r="AE92" i="4"/>
  <c r="AF75" i="4"/>
  <c r="AF96" i="4" l="1"/>
  <c r="AF111" i="4"/>
  <c r="AI95" i="6"/>
  <c r="AI108" i="6" s="1"/>
  <c r="AI109" i="6" s="1"/>
  <c r="AK90" i="6"/>
  <c r="AK106" i="6"/>
  <c r="AK89" i="6"/>
  <c r="AK101" i="6"/>
  <c r="AK83" i="6"/>
  <c r="AL76" i="6"/>
  <c r="AL112" i="6" s="1"/>
  <c r="AK97" i="6"/>
  <c r="AK87" i="6"/>
  <c r="AK91" i="6"/>
  <c r="AK86" i="6"/>
  <c r="AK92" i="6"/>
  <c r="AK88" i="6"/>
  <c r="AK93" i="6"/>
  <c r="AJ84" i="6"/>
  <c r="AJ85" i="6" s="1"/>
  <c r="AJ107" i="6"/>
  <c r="AJ94" i="6"/>
  <c r="AD103" i="4"/>
  <c r="AE82" i="4"/>
  <c r="AE105" i="4"/>
  <c r="AB107" i="4"/>
  <c r="AB108" i="4" s="1"/>
  <c r="AE93" i="4"/>
  <c r="AE106" i="4"/>
  <c r="AF100" i="4"/>
  <c r="AE98" i="4"/>
  <c r="AE103" i="4" s="1"/>
  <c r="AE104" i="4" s="1"/>
  <c r="AE101" i="4"/>
  <c r="AE102" i="4"/>
  <c r="AE97" i="4"/>
  <c r="AE79" i="4"/>
  <c r="AE91" i="4"/>
  <c r="AE90" i="4"/>
  <c r="AE89" i="4"/>
  <c r="AF76" i="4"/>
  <c r="AF105" i="4" s="1"/>
  <c r="AD83" i="4"/>
  <c r="AE88" i="4"/>
  <c r="AE86" i="4"/>
  <c r="AE87" i="4"/>
  <c r="AE85" i="4"/>
  <c r="AF92" i="4"/>
  <c r="AG75" i="4"/>
  <c r="AF86" i="4"/>
  <c r="AG96" i="4" l="1"/>
  <c r="AG111" i="4"/>
  <c r="AJ95" i="6"/>
  <c r="AJ108" i="6" s="1"/>
  <c r="AJ109" i="6" s="1"/>
  <c r="AK107" i="6"/>
  <c r="AK94" i="6"/>
  <c r="AK84" i="6"/>
  <c r="AL101" i="6"/>
  <c r="AL93" i="6"/>
  <c r="AL88" i="6"/>
  <c r="AL89" i="6"/>
  <c r="AL106" i="6"/>
  <c r="AL83" i="6"/>
  <c r="AM76" i="6"/>
  <c r="AM112" i="6" s="1"/>
  <c r="AL97" i="6"/>
  <c r="AL87" i="6"/>
  <c r="AL91" i="6"/>
  <c r="AL86" i="6"/>
  <c r="AL90" i="6"/>
  <c r="AL92" i="6"/>
  <c r="AD104" i="4"/>
  <c r="AD84" i="4"/>
  <c r="AF82" i="4"/>
  <c r="AF93" i="4"/>
  <c r="AF106" i="4"/>
  <c r="AG100" i="4"/>
  <c r="AF101" i="4"/>
  <c r="AF102" i="4"/>
  <c r="AF97" i="4"/>
  <c r="AF98" i="4"/>
  <c r="AF87" i="4"/>
  <c r="AF85" i="4"/>
  <c r="AF88" i="4"/>
  <c r="AF89" i="4"/>
  <c r="AF91" i="4"/>
  <c r="AF90" i="4"/>
  <c r="AG76" i="4"/>
  <c r="AG105" i="4" s="1"/>
  <c r="AE83" i="4"/>
  <c r="AF79" i="4"/>
  <c r="AC94" i="4"/>
  <c r="AC107" i="4" s="1"/>
  <c r="AG92" i="4"/>
  <c r="AH75" i="4"/>
  <c r="AH96" i="4" l="1"/>
  <c r="AH111" i="4"/>
  <c r="AK85" i="6"/>
  <c r="AK95" i="6" s="1"/>
  <c r="AK108" i="6" s="1"/>
  <c r="AK109" i="6" s="1"/>
  <c r="AL84" i="6"/>
  <c r="AL85" i="6" s="1"/>
  <c r="AL107" i="6"/>
  <c r="AL94" i="6"/>
  <c r="AM92" i="6"/>
  <c r="AM89" i="6"/>
  <c r="AM101" i="6"/>
  <c r="AM97" i="6"/>
  <c r="AM87" i="6"/>
  <c r="AM90" i="6"/>
  <c r="AM106" i="6"/>
  <c r="AN76" i="6"/>
  <c r="AN112" i="6" s="1"/>
  <c r="AM83" i="6"/>
  <c r="AM91" i="6"/>
  <c r="AM86" i="6"/>
  <c r="AM88" i="6"/>
  <c r="AM93" i="6"/>
  <c r="AF103" i="4"/>
  <c r="AD94" i="4"/>
  <c r="AD107" i="4" s="1"/>
  <c r="AF83" i="4"/>
  <c r="AF84" i="4" s="1"/>
  <c r="AF94" i="4" s="1"/>
  <c r="AG82" i="4"/>
  <c r="AG83" i="4" s="1"/>
  <c r="AG84" i="4" s="1"/>
  <c r="AG93" i="4"/>
  <c r="AG106" i="4"/>
  <c r="AH100" i="4"/>
  <c r="AG101" i="4"/>
  <c r="AG102" i="4"/>
  <c r="AG97" i="4"/>
  <c r="AG98" i="4"/>
  <c r="AG103" i="4" s="1"/>
  <c r="AG104" i="4" s="1"/>
  <c r="AG79" i="4"/>
  <c r="AE84" i="4"/>
  <c r="AE94" i="4" s="1"/>
  <c r="AE107" i="4" s="1"/>
  <c r="AG90" i="4"/>
  <c r="AG91" i="4"/>
  <c r="AG89" i="4"/>
  <c r="AH76" i="4"/>
  <c r="AH105" i="4" s="1"/>
  <c r="AG87" i="4"/>
  <c r="AG88" i="4"/>
  <c r="AG85" i="4"/>
  <c r="AG86" i="4"/>
  <c r="AC108" i="4"/>
  <c r="AH92" i="4"/>
  <c r="AI75" i="4"/>
  <c r="AI96" i="4" l="1"/>
  <c r="AI111" i="4"/>
  <c r="AL95" i="6"/>
  <c r="AL108" i="6" s="1"/>
  <c r="AL109" i="6" s="1"/>
  <c r="AM84" i="6"/>
  <c r="AM85" i="6" s="1"/>
  <c r="AM107" i="6"/>
  <c r="AM94" i="6"/>
  <c r="AN88" i="6"/>
  <c r="AN97" i="6"/>
  <c r="AN87" i="6"/>
  <c r="AN106" i="6"/>
  <c r="AN89" i="6"/>
  <c r="AN93" i="6"/>
  <c r="AN101" i="6"/>
  <c r="AN92" i="6"/>
  <c r="AN83" i="6"/>
  <c r="AN86" i="6"/>
  <c r="AN91" i="6"/>
  <c r="AN90" i="6"/>
  <c r="AO76" i="6"/>
  <c r="AO112" i="6" s="1"/>
  <c r="AD108" i="4"/>
  <c r="AE108" i="4" s="1"/>
  <c r="AF104" i="4"/>
  <c r="AF107" i="4" s="1"/>
  <c r="AH82" i="4"/>
  <c r="AH93" i="4"/>
  <c r="AH106" i="4"/>
  <c r="AI100" i="4"/>
  <c r="AH98" i="4"/>
  <c r="AH103" i="4" s="1"/>
  <c r="AH104" i="4" s="1"/>
  <c r="AH102" i="4"/>
  <c r="AH101" i="4"/>
  <c r="AH97" i="4"/>
  <c r="AH79" i="4"/>
  <c r="AH89" i="4"/>
  <c r="AH90" i="4"/>
  <c r="AH91" i="4"/>
  <c r="AI76" i="4"/>
  <c r="AI105" i="4" s="1"/>
  <c r="AH86" i="4"/>
  <c r="AH88" i="4"/>
  <c r="AH85" i="4"/>
  <c r="AH87" i="4"/>
  <c r="AI92" i="4"/>
  <c r="AJ75" i="4"/>
  <c r="AI87" i="4"/>
  <c r="AJ96" i="4" l="1"/>
  <c r="AJ111" i="4"/>
  <c r="AM95" i="6"/>
  <c r="AM108" i="6" s="1"/>
  <c r="AM109" i="6" s="1"/>
  <c r="AN107" i="6"/>
  <c r="AN94" i="6"/>
  <c r="AO106" i="6"/>
  <c r="AO89" i="6"/>
  <c r="AO90" i="6"/>
  <c r="AO88" i="6"/>
  <c r="AO83" i="6"/>
  <c r="AO87" i="6"/>
  <c r="AO93" i="6"/>
  <c r="AO101" i="6"/>
  <c r="AO97" i="6"/>
  <c r="AO91" i="6"/>
  <c r="AO86" i="6"/>
  <c r="AP76" i="6"/>
  <c r="AP112" i="6" s="1"/>
  <c r="AO92" i="6"/>
  <c r="AN84" i="6"/>
  <c r="AN85" i="6" s="1"/>
  <c r="AF108" i="4"/>
  <c r="AI82" i="4"/>
  <c r="AI93" i="4"/>
  <c r="AI106" i="4"/>
  <c r="AJ100" i="4"/>
  <c r="AI101" i="4"/>
  <c r="AI98" i="4"/>
  <c r="AI97" i="4"/>
  <c r="AI102" i="4"/>
  <c r="AH83" i="4"/>
  <c r="AI91" i="4"/>
  <c r="AI90" i="4"/>
  <c r="AI89" i="4"/>
  <c r="AJ76" i="4"/>
  <c r="AI79" i="4"/>
  <c r="AG94" i="4"/>
  <c r="AI88" i="4"/>
  <c r="AI85" i="4"/>
  <c r="AI86" i="4"/>
  <c r="AK75" i="4"/>
  <c r="AJ92" i="4"/>
  <c r="AK96" i="4" l="1"/>
  <c r="AK111" i="4"/>
  <c r="AO107" i="6"/>
  <c r="AO94" i="6"/>
  <c r="AP83" i="6"/>
  <c r="AP101" i="6"/>
  <c r="AP87" i="6"/>
  <c r="AP93" i="6"/>
  <c r="AP92" i="6"/>
  <c r="AP89" i="6"/>
  <c r="AP88" i="6"/>
  <c r="AP91" i="6"/>
  <c r="AP90" i="6"/>
  <c r="AP86" i="6"/>
  <c r="AP97" i="6"/>
  <c r="AP106" i="6"/>
  <c r="AQ76" i="6"/>
  <c r="AQ112" i="6" s="1"/>
  <c r="AO84" i="6"/>
  <c r="AO85" i="6" s="1"/>
  <c r="AN95" i="6"/>
  <c r="AN108" i="6" s="1"/>
  <c r="AN109" i="6" s="1"/>
  <c r="AI103" i="4"/>
  <c r="AJ82" i="4"/>
  <c r="AJ83" i="4" s="1"/>
  <c r="AJ84" i="4" s="1"/>
  <c r="AJ105" i="4"/>
  <c r="AH84" i="4"/>
  <c r="AH94" i="4" s="1"/>
  <c r="AG107" i="4"/>
  <c r="AG108" i="4" s="1"/>
  <c r="AJ93" i="4"/>
  <c r="AJ106" i="4"/>
  <c r="AK100" i="4"/>
  <c r="AJ102" i="4"/>
  <c r="AJ98" i="4"/>
  <c r="AJ103" i="4" s="1"/>
  <c r="AJ104" i="4" s="1"/>
  <c r="AJ97" i="4"/>
  <c r="AJ101" i="4"/>
  <c r="AI83" i="4"/>
  <c r="AJ90" i="4"/>
  <c r="AJ91" i="4"/>
  <c r="AJ89" i="4"/>
  <c r="AK76" i="4"/>
  <c r="AK105" i="4" s="1"/>
  <c r="AJ79" i="4"/>
  <c r="AJ85" i="4"/>
  <c r="AJ88" i="4"/>
  <c r="AJ86" i="4"/>
  <c r="AJ87" i="4"/>
  <c r="AL75" i="4"/>
  <c r="AK92" i="4"/>
  <c r="AL96" i="4" l="1"/>
  <c r="AL111" i="4"/>
  <c r="AO95" i="6"/>
  <c r="AO108" i="6" s="1"/>
  <c r="AO109" i="6" s="1"/>
  <c r="AQ101" i="6"/>
  <c r="AQ93" i="6"/>
  <c r="AQ88" i="6"/>
  <c r="AQ97" i="6"/>
  <c r="AQ106" i="6"/>
  <c r="AQ92" i="6"/>
  <c r="AQ91" i="6"/>
  <c r="AQ86" i="6"/>
  <c r="AQ90" i="6"/>
  <c r="AR76" i="6"/>
  <c r="AR112" i="6" s="1"/>
  <c r="AQ87" i="6"/>
  <c r="AQ83" i="6"/>
  <c r="AQ89" i="6"/>
  <c r="AP94" i="6"/>
  <c r="AP107" i="6"/>
  <c r="AP84" i="6"/>
  <c r="AP85" i="6" s="1"/>
  <c r="AI104" i="4"/>
  <c r="AK82" i="4"/>
  <c r="AH107" i="4"/>
  <c r="AH108" i="4" s="1"/>
  <c r="AK93" i="4"/>
  <c r="AK106" i="4"/>
  <c r="AL100" i="4"/>
  <c r="AK98" i="4"/>
  <c r="AK103" i="4" s="1"/>
  <c r="AK104" i="4" s="1"/>
  <c r="AK102" i="4"/>
  <c r="AK101" i="4"/>
  <c r="AK97" i="4"/>
  <c r="AI84" i="4"/>
  <c r="AI94" i="4" s="1"/>
  <c r="AK89" i="4"/>
  <c r="AK91" i="4"/>
  <c r="AK90" i="4"/>
  <c r="AL76" i="4"/>
  <c r="AK79" i="4"/>
  <c r="AK86" i="4"/>
  <c r="AK88" i="4"/>
  <c r="AK85" i="4"/>
  <c r="AK87" i="4"/>
  <c r="AJ94" i="4"/>
  <c r="AJ107" i="4" s="1"/>
  <c r="AM75" i="4"/>
  <c r="AL92" i="4"/>
  <c r="AL87" i="4"/>
  <c r="AM96" i="4" l="1"/>
  <c r="AM111" i="4"/>
  <c r="AP95" i="6"/>
  <c r="AP108" i="6" s="1"/>
  <c r="AP109" i="6" s="1"/>
  <c r="AQ84" i="6"/>
  <c r="AQ107" i="6"/>
  <c r="AQ94" i="6"/>
  <c r="AR90" i="6"/>
  <c r="AR91" i="6"/>
  <c r="AR101" i="6"/>
  <c r="AR97" i="6"/>
  <c r="AR93" i="6"/>
  <c r="AR92" i="6"/>
  <c r="AR86" i="6"/>
  <c r="AR88" i="6"/>
  <c r="AR83" i="6"/>
  <c r="AR89" i="6"/>
  <c r="AR106" i="6"/>
  <c r="AS76" i="6"/>
  <c r="AS112" i="6" s="1"/>
  <c r="AR87" i="6"/>
  <c r="AL82" i="4"/>
  <c r="AL105" i="4"/>
  <c r="AI107" i="4"/>
  <c r="AI108" i="4" s="1"/>
  <c r="AJ108" i="4" s="1"/>
  <c r="AL93" i="4"/>
  <c r="AL106" i="4"/>
  <c r="AM100" i="4"/>
  <c r="AL97" i="4"/>
  <c r="AL98" i="4"/>
  <c r="AL103" i="4" s="1"/>
  <c r="AL104" i="4" s="1"/>
  <c r="AL101" i="4"/>
  <c r="AL102" i="4"/>
  <c r="AL79" i="4"/>
  <c r="AL91" i="4"/>
  <c r="AL89" i="4"/>
  <c r="AL90" i="4"/>
  <c r="AM76" i="4"/>
  <c r="AK83" i="4"/>
  <c r="AL86" i="4"/>
  <c r="AL85" i="4"/>
  <c r="AL88" i="4"/>
  <c r="AN75" i="4"/>
  <c r="AM92" i="4"/>
  <c r="AM85" i="4"/>
  <c r="AN96" i="4" l="1"/>
  <c r="AN111" i="4"/>
  <c r="AQ85" i="6"/>
  <c r="AR84" i="6"/>
  <c r="AR85" i="6" s="1"/>
  <c r="AR107" i="6"/>
  <c r="AR94" i="6"/>
  <c r="AS101" i="6"/>
  <c r="AS97" i="6"/>
  <c r="AS87" i="6"/>
  <c r="AS93" i="6"/>
  <c r="AS92" i="6"/>
  <c r="AS86" i="6"/>
  <c r="AS91" i="6"/>
  <c r="AS90" i="6"/>
  <c r="AS89" i="6"/>
  <c r="AS88" i="6"/>
  <c r="AT76" i="6"/>
  <c r="AT112" i="6" s="1"/>
  <c r="AS106" i="6"/>
  <c r="AS83" i="6"/>
  <c r="AM82" i="4"/>
  <c r="AM105" i="4"/>
  <c r="AM93" i="4"/>
  <c r="AM106" i="4"/>
  <c r="AN100" i="4"/>
  <c r="AM97" i="4"/>
  <c r="AM101" i="4"/>
  <c r="AM102" i="4"/>
  <c r="AM98" i="4"/>
  <c r="AM103" i="4" s="1"/>
  <c r="AM104" i="4" s="1"/>
  <c r="AL83" i="4"/>
  <c r="AK84" i="4"/>
  <c r="AK94" i="4" s="1"/>
  <c r="AM89" i="4"/>
  <c r="AM91" i="4"/>
  <c r="AM90" i="4"/>
  <c r="AN76" i="4"/>
  <c r="AN105" i="4" s="1"/>
  <c r="AM79" i="4"/>
  <c r="AM86" i="4"/>
  <c r="AM88" i="4"/>
  <c r="AM87" i="4"/>
  <c r="AO75" i="4"/>
  <c r="AN92" i="4"/>
  <c r="AO96" i="4" l="1"/>
  <c r="AO111" i="4"/>
  <c r="AR95" i="6"/>
  <c r="AR108" i="6" s="1"/>
  <c r="AS84" i="6"/>
  <c r="AS85" i="6" s="1"/>
  <c r="AT89" i="6"/>
  <c r="AT97" i="6"/>
  <c r="AT106" i="6"/>
  <c r="AT87" i="6"/>
  <c r="AT93" i="6"/>
  <c r="AT92" i="6"/>
  <c r="AT86" i="6"/>
  <c r="AT91" i="6"/>
  <c r="AT90" i="6"/>
  <c r="AT101" i="6"/>
  <c r="AT83" i="6"/>
  <c r="AT88" i="6"/>
  <c r="AU76" i="6"/>
  <c r="AU112" i="6" s="1"/>
  <c r="AQ95" i="6"/>
  <c r="AQ108" i="6" s="1"/>
  <c r="AQ109" i="6" s="1"/>
  <c r="AS107" i="6"/>
  <c r="AS94" i="6"/>
  <c r="AN82" i="4"/>
  <c r="AN83" i="4" s="1"/>
  <c r="AK107" i="4"/>
  <c r="AK108" i="4" s="1"/>
  <c r="AN93" i="4"/>
  <c r="AN106" i="4"/>
  <c r="AO100" i="4"/>
  <c r="AN101" i="4"/>
  <c r="AN98" i="4"/>
  <c r="AN103" i="4" s="1"/>
  <c r="AN104" i="4" s="1"/>
  <c r="AN102" i="4"/>
  <c r="AN97" i="4"/>
  <c r="AL84" i="4"/>
  <c r="AL94" i="4" s="1"/>
  <c r="AN79" i="4"/>
  <c r="AM83" i="4"/>
  <c r="AN91" i="4"/>
  <c r="AN89" i="4"/>
  <c r="AN90" i="4"/>
  <c r="AO76" i="4"/>
  <c r="AN88" i="4"/>
  <c r="AN87" i="4"/>
  <c r="AN86" i="4"/>
  <c r="AN85" i="4"/>
  <c r="AP75" i="4"/>
  <c r="AO92" i="4"/>
  <c r="AO88" i="4"/>
  <c r="AP96" i="4" l="1"/>
  <c r="AP111" i="4"/>
  <c r="AR109" i="6"/>
  <c r="AS95" i="6"/>
  <c r="AS108" i="6" s="1"/>
  <c r="AS109" i="6" s="1"/>
  <c r="AT107" i="6"/>
  <c r="AT94" i="6"/>
  <c r="AU91" i="6"/>
  <c r="AU92" i="6"/>
  <c r="AU93" i="6"/>
  <c r="AU86" i="6"/>
  <c r="AU90" i="6"/>
  <c r="AU101" i="6"/>
  <c r="AU97" i="6"/>
  <c r="AU87" i="6"/>
  <c r="AU89" i="6"/>
  <c r="AU106" i="6"/>
  <c r="AU83" i="6"/>
  <c r="AV76" i="6"/>
  <c r="AV112" i="6" s="1"/>
  <c r="AU88" i="6"/>
  <c r="AT84" i="6"/>
  <c r="AT85" i="6" s="1"/>
  <c r="AO82" i="4"/>
  <c r="AO105" i="4"/>
  <c r="AL107" i="4"/>
  <c r="AL108" i="4" s="1"/>
  <c r="AO93" i="4"/>
  <c r="AO106" i="4"/>
  <c r="AP100" i="4"/>
  <c r="AO79" i="4"/>
  <c r="AO97" i="4"/>
  <c r="AO98" i="4"/>
  <c r="AO103" i="4" s="1"/>
  <c r="AO104" i="4" s="1"/>
  <c r="AO102" i="4"/>
  <c r="AO101" i="4"/>
  <c r="AM84" i="4"/>
  <c r="AM94" i="4" s="1"/>
  <c r="AO89" i="4"/>
  <c r="AO90" i="4"/>
  <c r="AO91" i="4"/>
  <c r="AP76" i="4"/>
  <c r="AP105" i="4" s="1"/>
  <c r="AN84" i="4"/>
  <c r="AN94" i="4" s="1"/>
  <c r="AN107" i="4" s="1"/>
  <c r="AO86" i="4"/>
  <c r="AO87" i="4"/>
  <c r="AO85" i="4"/>
  <c r="AP92" i="4"/>
  <c r="AQ75" i="4"/>
  <c r="AP85" i="4"/>
  <c r="AQ96" i="4" l="1"/>
  <c r="AQ111" i="4"/>
  <c r="AT95" i="6"/>
  <c r="AT108" i="6" s="1"/>
  <c r="AT109" i="6" s="1"/>
  <c r="AU84" i="6"/>
  <c r="AU85" i="6" s="1"/>
  <c r="AU94" i="6"/>
  <c r="AU107" i="6"/>
  <c r="AV86" i="6"/>
  <c r="AV87" i="6"/>
  <c r="AV92" i="6"/>
  <c r="AV91" i="6"/>
  <c r="AV90" i="6"/>
  <c r="AV106" i="6"/>
  <c r="AV89" i="6"/>
  <c r="AV97" i="6"/>
  <c r="AV88" i="6"/>
  <c r="AW76" i="6"/>
  <c r="AW112" i="6" s="1"/>
  <c r="AV101" i="6"/>
  <c r="AV93" i="6"/>
  <c r="AV83" i="6"/>
  <c r="AP82" i="4"/>
  <c r="AM107" i="4"/>
  <c r="AM108" i="4" s="1"/>
  <c r="AN108" i="4" s="1"/>
  <c r="AP93" i="4"/>
  <c r="AP106" i="4"/>
  <c r="AQ100" i="4"/>
  <c r="AP102" i="4"/>
  <c r="AP101" i="4"/>
  <c r="AP97" i="4"/>
  <c r="AP98" i="4"/>
  <c r="AP90" i="4"/>
  <c r="AP91" i="4"/>
  <c r="AP89" i="4"/>
  <c r="AQ76" i="4"/>
  <c r="AQ105" i="4" s="1"/>
  <c r="AP79" i="4"/>
  <c r="AP86" i="4"/>
  <c r="AO83" i="4"/>
  <c r="AO84" i="4" s="1"/>
  <c r="AP87" i="4"/>
  <c r="AP88" i="4"/>
  <c r="AR75" i="4"/>
  <c r="AQ92" i="4"/>
  <c r="AR96" i="4" l="1"/>
  <c r="AR111" i="4"/>
  <c r="AU95" i="6"/>
  <c r="AU108" i="6" s="1"/>
  <c r="AU109" i="6" s="1"/>
  <c r="AV84" i="6"/>
  <c r="AV85" i="6" s="1"/>
  <c r="AV94" i="6"/>
  <c r="AV107" i="6"/>
  <c r="AW90" i="6"/>
  <c r="AW106" i="6"/>
  <c r="AW86" i="6"/>
  <c r="AW91" i="6"/>
  <c r="AW89" i="6"/>
  <c r="AW88" i="6"/>
  <c r="AW83" i="6"/>
  <c r="AW87" i="6"/>
  <c r="AW97" i="6"/>
  <c r="AX76" i="6"/>
  <c r="AX112" i="6" s="1"/>
  <c r="AW101" i="6"/>
  <c r="AW93" i="6"/>
  <c r="AW92" i="6"/>
  <c r="AP103" i="4"/>
  <c r="AQ82" i="4"/>
  <c r="AQ93" i="4"/>
  <c r="AQ106" i="4"/>
  <c r="AR100" i="4"/>
  <c r="AQ97" i="4"/>
  <c r="AQ98" i="4"/>
  <c r="AQ103" i="4" s="1"/>
  <c r="AQ104" i="4" s="1"/>
  <c r="AQ102" i="4"/>
  <c r="AQ101" i="4"/>
  <c r="AQ91" i="4"/>
  <c r="AQ89" i="4"/>
  <c r="AQ90" i="4"/>
  <c r="AR76" i="4"/>
  <c r="AR105" i="4" s="1"/>
  <c r="AQ79" i="4"/>
  <c r="AP83" i="4"/>
  <c r="AQ86" i="4"/>
  <c r="AQ87" i="4"/>
  <c r="AQ85" i="4"/>
  <c r="AQ88" i="4"/>
  <c r="AR92" i="4"/>
  <c r="AS75" i="4"/>
  <c r="AS96" i="4" l="1"/>
  <c r="AS111" i="4"/>
  <c r="AV95" i="6"/>
  <c r="AV108" i="6" s="1"/>
  <c r="AV109" i="6" s="1"/>
  <c r="AX92" i="6"/>
  <c r="AX93" i="6"/>
  <c r="AX91" i="6"/>
  <c r="AX90" i="6"/>
  <c r="AX89" i="6"/>
  <c r="AX106" i="6"/>
  <c r="AX88" i="6"/>
  <c r="AX83" i="6"/>
  <c r="AX86" i="6"/>
  <c r="AY76" i="6"/>
  <c r="AY112" i="6" s="1"/>
  <c r="AX97" i="6"/>
  <c r="AX101" i="6"/>
  <c r="AX87" i="6"/>
  <c r="AW84" i="6"/>
  <c r="AW85" i="6" s="1"/>
  <c r="AW107" i="6"/>
  <c r="AW94" i="6"/>
  <c r="AP104" i="4"/>
  <c r="AP84" i="4"/>
  <c r="AR82" i="4"/>
  <c r="AR93" i="4"/>
  <c r="AR106" i="4"/>
  <c r="AS100" i="4"/>
  <c r="AR102" i="4"/>
  <c r="AR101" i="4"/>
  <c r="AR97" i="4"/>
  <c r="AR98" i="4"/>
  <c r="AR103" i="4" s="1"/>
  <c r="AR104" i="4" s="1"/>
  <c r="AR91" i="4"/>
  <c r="AR90" i="4"/>
  <c r="AR89" i="4"/>
  <c r="AS76" i="4"/>
  <c r="AR79" i="4"/>
  <c r="AQ83" i="4"/>
  <c r="AQ84" i="4" s="1"/>
  <c r="AO94" i="4"/>
  <c r="AR86" i="4"/>
  <c r="AR87" i="4"/>
  <c r="AR85" i="4"/>
  <c r="AR88" i="4"/>
  <c r="AS92" i="4"/>
  <c r="AT75" i="4"/>
  <c r="AS86" i="4"/>
  <c r="AT96" i="4" l="1"/>
  <c r="AT111" i="4"/>
  <c r="AW95" i="6"/>
  <c r="AW108" i="6" s="1"/>
  <c r="AW109" i="6" s="1"/>
  <c r="AY97" i="6"/>
  <c r="AY87" i="6"/>
  <c r="AY101" i="6"/>
  <c r="AY93" i="6"/>
  <c r="AY88" i="6"/>
  <c r="AY90" i="6"/>
  <c r="AY89" i="6"/>
  <c r="AY106" i="6"/>
  <c r="AY83" i="6"/>
  <c r="AZ76" i="6"/>
  <c r="AZ112" i="6" s="1"/>
  <c r="AY91" i="6"/>
  <c r="AY86" i="6"/>
  <c r="AY92" i="6"/>
  <c r="AX107" i="6"/>
  <c r="AX94" i="6"/>
  <c r="AX84" i="6"/>
  <c r="AX85" i="6" s="1"/>
  <c r="AP94" i="4"/>
  <c r="AP107" i="4" s="1"/>
  <c r="AS82" i="4"/>
  <c r="AS105" i="4"/>
  <c r="AO107" i="4"/>
  <c r="AO108" i="4" s="1"/>
  <c r="AS93" i="4"/>
  <c r="AS106" i="4"/>
  <c r="AT100" i="4"/>
  <c r="AS102" i="4"/>
  <c r="AS98" i="4"/>
  <c r="AS103" i="4" s="1"/>
  <c r="AS104" i="4" s="1"/>
  <c r="AS97" i="4"/>
  <c r="AS101" i="4"/>
  <c r="AQ94" i="4"/>
  <c r="AS89" i="4"/>
  <c r="AS90" i="4"/>
  <c r="AS91" i="4"/>
  <c r="AT76" i="4"/>
  <c r="AS79" i="4"/>
  <c r="AS87" i="4"/>
  <c r="AR83" i="4"/>
  <c r="AS85" i="4"/>
  <c r="AS88" i="4"/>
  <c r="AT92" i="4"/>
  <c r="AU75" i="4"/>
  <c r="AU96" i="4" l="1"/>
  <c r="AU111" i="4"/>
  <c r="AX95" i="6"/>
  <c r="AX108" i="6" s="1"/>
  <c r="AX109" i="6" s="1"/>
  <c r="AZ91" i="6"/>
  <c r="AZ106" i="6"/>
  <c r="AZ93" i="6"/>
  <c r="AZ92" i="6"/>
  <c r="AZ86" i="6"/>
  <c r="AZ90" i="6"/>
  <c r="AZ89" i="6"/>
  <c r="AZ83" i="6"/>
  <c r="BA76" i="6"/>
  <c r="BA112" i="6" s="1"/>
  <c r="AZ88" i="6"/>
  <c r="AZ97" i="6"/>
  <c r="AZ87" i="6"/>
  <c r="AZ101" i="6"/>
  <c r="AY84" i="6"/>
  <c r="AY85" i="6" s="1"/>
  <c r="AY94" i="6"/>
  <c r="AY107" i="6"/>
  <c r="AP108" i="4"/>
  <c r="AT82" i="4"/>
  <c r="AT105" i="4"/>
  <c r="AR84" i="4"/>
  <c r="AQ107" i="4"/>
  <c r="AT93" i="4"/>
  <c r="AT106" i="4"/>
  <c r="AU100" i="4"/>
  <c r="AT101" i="4"/>
  <c r="AT98" i="4"/>
  <c r="AT103" i="4" s="1"/>
  <c r="AT104" i="4" s="1"/>
  <c r="AT97" i="4"/>
  <c r="AT102" i="4"/>
  <c r="AT90" i="4"/>
  <c r="AT91" i="4"/>
  <c r="AT89" i="4"/>
  <c r="AU76" i="4"/>
  <c r="AU105" i="4" s="1"/>
  <c r="AT79" i="4"/>
  <c r="AS83" i="4"/>
  <c r="AT85" i="4"/>
  <c r="AT86" i="4"/>
  <c r="AT88" i="4"/>
  <c r="AT87" i="4"/>
  <c r="AU92" i="4"/>
  <c r="AV75" i="4"/>
  <c r="AV96" i="4" l="1"/>
  <c r="AV111" i="4"/>
  <c r="AY95" i="6"/>
  <c r="AY108" i="6" s="1"/>
  <c r="AY109" i="6" s="1"/>
  <c r="BA92" i="6"/>
  <c r="BA86" i="6"/>
  <c r="BA89" i="6"/>
  <c r="BA83" i="6"/>
  <c r="BB76" i="6"/>
  <c r="BB112" i="6" s="1"/>
  <c r="BA106" i="6"/>
  <c r="BA88" i="6"/>
  <c r="BA101" i="6"/>
  <c r="BA93" i="6"/>
  <c r="BA97" i="6"/>
  <c r="BA90" i="6"/>
  <c r="BA87" i="6"/>
  <c r="BA91" i="6"/>
  <c r="AZ84" i="6"/>
  <c r="AZ107" i="6"/>
  <c r="AZ94" i="6"/>
  <c r="AQ108" i="4"/>
  <c r="AU82" i="4"/>
  <c r="AU93" i="4"/>
  <c r="AU106" i="4"/>
  <c r="AU97" i="4"/>
  <c r="AU98" i="4"/>
  <c r="AU103" i="4" s="1"/>
  <c r="AU102" i="4"/>
  <c r="AU101" i="4"/>
  <c r="AV100" i="4"/>
  <c r="AT83" i="4"/>
  <c r="AS84" i="4"/>
  <c r="AS94" i="4" s="1"/>
  <c r="AS107" i="4" s="1"/>
  <c r="AU90" i="4"/>
  <c r="AU91" i="4"/>
  <c r="AU89" i="4"/>
  <c r="AV76" i="4"/>
  <c r="AV105" i="4" s="1"/>
  <c r="AU79" i="4"/>
  <c r="AR94" i="4"/>
  <c r="AU87" i="4"/>
  <c r="AU85" i="4"/>
  <c r="AU88" i="4"/>
  <c r="AU86" i="4"/>
  <c r="AV92" i="4"/>
  <c r="AW75" i="4"/>
  <c r="AV86" i="4"/>
  <c r="AW96" i="4" l="1"/>
  <c r="AW111" i="4"/>
  <c r="AZ85" i="6"/>
  <c r="AZ95" i="6" s="1"/>
  <c r="AZ108" i="6" s="1"/>
  <c r="AZ109" i="6" s="1"/>
  <c r="BB101" i="6"/>
  <c r="BB93" i="6"/>
  <c r="BB88" i="6"/>
  <c r="BB89" i="6"/>
  <c r="BB91" i="6"/>
  <c r="BB83" i="6"/>
  <c r="BC76" i="6"/>
  <c r="BC112" i="6" s="1"/>
  <c r="BB106" i="6"/>
  <c r="BB97" i="6"/>
  <c r="BB92" i="6"/>
  <c r="BB86" i="6"/>
  <c r="BB90" i="6"/>
  <c r="BB87" i="6"/>
  <c r="BA107" i="6"/>
  <c r="BA94" i="6"/>
  <c r="BA84" i="6"/>
  <c r="BA85" i="6" s="1"/>
  <c r="AU104" i="4"/>
  <c r="AV82" i="4"/>
  <c r="AR107" i="4"/>
  <c r="AR108" i="4" s="1"/>
  <c r="AS108" i="4" s="1"/>
  <c r="AV93" i="4"/>
  <c r="AV106" i="4"/>
  <c r="AW100" i="4"/>
  <c r="AV98" i="4"/>
  <c r="AV103" i="4" s="1"/>
  <c r="AV104" i="4" s="1"/>
  <c r="AV97" i="4"/>
  <c r="AV101" i="4"/>
  <c r="AV102" i="4"/>
  <c r="AT84" i="4"/>
  <c r="AT94" i="4" s="1"/>
  <c r="AT107" i="4" s="1"/>
  <c r="AV90" i="4"/>
  <c r="AV91" i="4"/>
  <c r="AV89" i="4"/>
  <c r="AW76" i="4"/>
  <c r="AV79" i="4"/>
  <c r="AV87" i="4"/>
  <c r="AU83" i="4"/>
  <c r="AU84" i="4" s="1"/>
  <c r="AV85" i="4"/>
  <c r="AV88" i="4"/>
  <c r="AW92" i="4"/>
  <c r="AX75" i="4"/>
  <c r="AX96" i="4" l="1"/>
  <c r="AX111" i="4"/>
  <c r="BC92" i="6"/>
  <c r="BC91" i="6"/>
  <c r="BC90" i="6"/>
  <c r="BC106" i="6"/>
  <c r="BC88" i="6"/>
  <c r="BC101" i="6"/>
  <c r="BC97" i="6"/>
  <c r="BC87" i="6"/>
  <c r="BC93" i="6"/>
  <c r="BC86" i="6"/>
  <c r="BC89" i="6"/>
  <c r="BD76" i="6"/>
  <c r="BD112" i="6" s="1"/>
  <c r="BC83" i="6"/>
  <c r="BA95" i="6"/>
  <c r="BA108" i="6" s="1"/>
  <c r="BA109" i="6" s="1"/>
  <c r="BB107" i="6"/>
  <c r="BB94" i="6"/>
  <c r="BB84" i="6"/>
  <c r="BB85" i="6"/>
  <c r="AW82" i="4"/>
  <c r="AW83" i="4" s="1"/>
  <c r="AW84" i="4" s="1"/>
  <c r="AW105" i="4"/>
  <c r="AW93" i="4"/>
  <c r="AW106" i="4"/>
  <c r="AX100" i="4"/>
  <c r="AW79" i="4"/>
  <c r="AW97" i="4"/>
  <c r="AW98" i="4"/>
  <c r="AW103" i="4" s="1"/>
  <c r="AW104" i="4" s="1"/>
  <c r="AW102" i="4"/>
  <c r="AW101" i="4"/>
  <c r="AT108" i="4"/>
  <c r="AV83" i="4"/>
  <c r="AW90" i="4"/>
  <c r="AW91" i="4"/>
  <c r="AW89" i="4"/>
  <c r="AX76" i="4"/>
  <c r="AX105" i="4" s="1"/>
  <c r="AW87" i="4"/>
  <c r="AW88" i="4"/>
  <c r="AW85" i="4"/>
  <c r="AW86" i="4"/>
  <c r="AX92" i="4"/>
  <c r="AY75" i="4"/>
  <c r="AY96" i="4" l="1"/>
  <c r="AY111" i="4"/>
  <c r="BD90" i="6"/>
  <c r="BD88" i="6"/>
  <c r="BD101" i="6"/>
  <c r="BD97" i="6"/>
  <c r="BD87" i="6"/>
  <c r="BD92" i="6"/>
  <c r="BD91" i="6"/>
  <c r="BD86" i="6"/>
  <c r="BD89" i="6"/>
  <c r="BE76" i="6"/>
  <c r="BE112" i="6" s="1"/>
  <c r="BD93" i="6"/>
  <c r="BD106" i="6"/>
  <c r="BD83" i="6"/>
  <c r="BB95" i="6"/>
  <c r="BB108" i="6" s="1"/>
  <c r="BB109" i="6" s="1"/>
  <c r="BC84" i="6"/>
  <c r="BC85" i="6" s="1"/>
  <c r="BC107" i="6"/>
  <c r="BC94" i="6"/>
  <c r="AX82" i="4"/>
  <c r="AX83" i="4" s="1"/>
  <c r="AX84" i="4" s="1"/>
  <c r="AX93" i="4"/>
  <c r="AX106" i="4"/>
  <c r="AY100" i="4"/>
  <c r="AX102" i="4"/>
  <c r="AX97" i="4"/>
  <c r="AX98" i="4"/>
  <c r="AX103" i="4" s="1"/>
  <c r="AX104" i="4" s="1"/>
  <c r="AX101" i="4"/>
  <c r="AV84" i="4"/>
  <c r="AV94" i="4" s="1"/>
  <c r="AV107" i="4" s="1"/>
  <c r="AX90" i="4"/>
  <c r="AX91" i="4"/>
  <c r="AX89" i="4"/>
  <c r="AY76" i="4"/>
  <c r="AX79" i="4"/>
  <c r="AW94" i="4"/>
  <c r="AW107" i="4" s="1"/>
  <c r="AU94" i="4"/>
  <c r="AX85" i="4"/>
  <c r="AX87" i="4"/>
  <c r="AX88" i="4"/>
  <c r="AX86" i="4"/>
  <c r="AY92" i="4"/>
  <c r="AZ75" i="4"/>
  <c r="AY87" i="4"/>
  <c r="AZ96" i="4" l="1"/>
  <c r="AZ111" i="4"/>
  <c r="BC95" i="6"/>
  <c r="BC108" i="6" s="1"/>
  <c r="BC109" i="6" s="1"/>
  <c r="BD84" i="6"/>
  <c r="BD85" i="6"/>
  <c r="BD107" i="6"/>
  <c r="BD94" i="6"/>
  <c r="BE106" i="6"/>
  <c r="BE89" i="6"/>
  <c r="BE90" i="6"/>
  <c r="BE83" i="6"/>
  <c r="BF76" i="6"/>
  <c r="BF112" i="6" s="1"/>
  <c r="BE101" i="6"/>
  <c r="BE97" i="6"/>
  <c r="BE87" i="6"/>
  <c r="BE91" i="6"/>
  <c r="BE88" i="6"/>
  <c r="BE92" i="6"/>
  <c r="BE93" i="6"/>
  <c r="BE86" i="6"/>
  <c r="AY82" i="4"/>
  <c r="AY105" i="4"/>
  <c r="AU107" i="4"/>
  <c r="AU108" i="4" s="1"/>
  <c r="AV108" i="4" s="1"/>
  <c r="AW108" i="4" s="1"/>
  <c r="AY93" i="4"/>
  <c r="AY106" i="4"/>
  <c r="AY79" i="4"/>
  <c r="AY101" i="4"/>
  <c r="AY102" i="4"/>
  <c r="AY98" i="4"/>
  <c r="AY103" i="4" s="1"/>
  <c r="AY104" i="4" s="1"/>
  <c r="AY97" i="4"/>
  <c r="AZ100" i="4"/>
  <c r="AY90" i="4"/>
  <c r="AY91" i="4"/>
  <c r="AY89" i="4"/>
  <c r="AZ76" i="4"/>
  <c r="AZ105" i="4" s="1"/>
  <c r="AX94" i="4"/>
  <c r="AX107" i="4" s="1"/>
  <c r="AY85" i="4"/>
  <c r="AY88" i="4"/>
  <c r="AY86" i="4"/>
  <c r="BA75" i="4"/>
  <c r="AZ92" i="4"/>
  <c r="BA96" i="4" l="1"/>
  <c r="BA111" i="4"/>
  <c r="BF83" i="6"/>
  <c r="BG76" i="6"/>
  <c r="BG112" i="6" s="1"/>
  <c r="BF89" i="6"/>
  <c r="BF101" i="6"/>
  <c r="BF97" i="6"/>
  <c r="BF87" i="6"/>
  <c r="BF90" i="6"/>
  <c r="BF88" i="6"/>
  <c r="BF106" i="6"/>
  <c r="BF92" i="6"/>
  <c r="BF93" i="6"/>
  <c r="BF86" i="6"/>
  <c r="BF91" i="6"/>
  <c r="BE84" i="6"/>
  <c r="BE85" i="6" s="1"/>
  <c r="BE94" i="6"/>
  <c r="BE107" i="6"/>
  <c r="BD95" i="6"/>
  <c r="BD108" i="6" s="1"/>
  <c r="BD109" i="6" s="1"/>
  <c r="AZ82" i="4"/>
  <c r="AZ83" i="4" s="1"/>
  <c r="AZ93" i="4"/>
  <c r="AZ106" i="4"/>
  <c r="BA100" i="4"/>
  <c r="AZ98" i="4"/>
  <c r="AZ103" i="4" s="1"/>
  <c r="AZ104" i="4" s="1"/>
  <c r="AZ97" i="4"/>
  <c r="AZ102" i="4"/>
  <c r="AZ101" i="4"/>
  <c r="AY83" i="4"/>
  <c r="AY84" i="4" s="1"/>
  <c r="AZ89" i="4"/>
  <c r="AZ91" i="4"/>
  <c r="AZ90" i="4"/>
  <c r="BA76" i="4"/>
  <c r="AZ79" i="4"/>
  <c r="AX108" i="4"/>
  <c r="AZ88" i="4"/>
  <c r="AZ87" i="4"/>
  <c r="AZ85" i="4"/>
  <c r="AZ86" i="4"/>
  <c r="BB75" i="4"/>
  <c r="BA92" i="4"/>
  <c r="BB96" i="4" l="1"/>
  <c r="BB111" i="4"/>
  <c r="BE95" i="6"/>
  <c r="BE108" i="6" s="1"/>
  <c r="BE109" i="6" s="1"/>
  <c r="BF94" i="6"/>
  <c r="BF107" i="6"/>
  <c r="BF84" i="6"/>
  <c r="BF85" i="6" s="1"/>
  <c r="BF95" i="6" s="1"/>
  <c r="BG101" i="6"/>
  <c r="BG93" i="6"/>
  <c r="BG88" i="6"/>
  <c r="BG97" i="6"/>
  <c r="BG106" i="6"/>
  <c r="BG89" i="6"/>
  <c r="BG87" i="6"/>
  <c r="BG90" i="6"/>
  <c r="BG91" i="6"/>
  <c r="BG86" i="6"/>
  <c r="BH76" i="6"/>
  <c r="BH112" i="6" s="1"/>
  <c r="BG92" i="6"/>
  <c r="BG83" i="6"/>
  <c r="BA82" i="4"/>
  <c r="BA105" i="4"/>
  <c r="BA93" i="4"/>
  <c r="BA106" i="4"/>
  <c r="BB100" i="4"/>
  <c r="BA101" i="4"/>
  <c r="BA97" i="4"/>
  <c r="BA98" i="4"/>
  <c r="BA103" i="4" s="1"/>
  <c r="BA104" i="4" s="1"/>
  <c r="BA102" i="4"/>
  <c r="AY94" i="4"/>
  <c r="BA91" i="4"/>
  <c r="BA89" i="4"/>
  <c r="BA90" i="4"/>
  <c r="BB76" i="4"/>
  <c r="BB105" i="4" s="1"/>
  <c r="BA79" i="4"/>
  <c r="AZ84" i="4"/>
  <c r="AZ94" i="4" s="1"/>
  <c r="AZ107" i="4" s="1"/>
  <c r="BA86" i="4"/>
  <c r="BA88" i="4"/>
  <c r="BA85" i="4"/>
  <c r="BA87" i="4"/>
  <c r="BC75" i="4"/>
  <c r="BB92" i="4"/>
  <c r="BB87" i="4"/>
  <c r="BC96" i="4" l="1"/>
  <c r="BC111" i="4"/>
  <c r="BF108" i="6"/>
  <c r="BF109" i="6"/>
  <c r="BG94" i="6"/>
  <c r="BG107" i="6"/>
  <c r="BG84" i="6"/>
  <c r="BG85" i="6" s="1"/>
  <c r="BG95" i="6" s="1"/>
  <c r="BG108" i="6" s="1"/>
  <c r="BH90" i="6"/>
  <c r="BH91" i="6"/>
  <c r="BH106" i="6"/>
  <c r="BH88" i="6"/>
  <c r="BH101" i="6"/>
  <c r="BH97" i="6"/>
  <c r="BH87" i="6"/>
  <c r="BH86" i="6"/>
  <c r="BH83" i="6"/>
  <c r="BH89" i="6"/>
  <c r="BI76" i="6"/>
  <c r="BI112" i="6" s="1"/>
  <c r="BH93" i="6"/>
  <c r="BH92" i="6"/>
  <c r="BB82" i="4"/>
  <c r="AY107" i="4"/>
  <c r="AY108" i="4" s="1"/>
  <c r="AZ108" i="4" s="1"/>
  <c r="BB93" i="4"/>
  <c r="BB106" i="4"/>
  <c r="BC100" i="4"/>
  <c r="BB102" i="4"/>
  <c r="BB101" i="4"/>
  <c r="BB98" i="4"/>
  <c r="BB97" i="4"/>
  <c r="BB90" i="4"/>
  <c r="BB91" i="4"/>
  <c r="BB89" i="4"/>
  <c r="BC76" i="4"/>
  <c r="BC105" i="4" s="1"/>
  <c r="BA83" i="4"/>
  <c r="BA84" i="4" s="1"/>
  <c r="BB79" i="4"/>
  <c r="BB85" i="4"/>
  <c r="BB86" i="4"/>
  <c r="BB88" i="4"/>
  <c r="BD75" i="4"/>
  <c r="BC92" i="4"/>
  <c r="BC85" i="4"/>
  <c r="BD96" i="4" l="1"/>
  <c r="BD111" i="4"/>
  <c r="BG109" i="6"/>
  <c r="BI86" i="6"/>
  <c r="BI101" i="6"/>
  <c r="BI106" i="6"/>
  <c r="BI88" i="6"/>
  <c r="BI93" i="6"/>
  <c r="BI92" i="6"/>
  <c r="BI89" i="6"/>
  <c r="BI97" i="6"/>
  <c r="BI90" i="6"/>
  <c r="BJ76" i="6"/>
  <c r="BJ112" i="6" s="1"/>
  <c r="BI83" i="6"/>
  <c r="BI91" i="6"/>
  <c r="BI87" i="6"/>
  <c r="BH84" i="6"/>
  <c r="BH85" i="6" s="1"/>
  <c r="BH107" i="6"/>
  <c r="BH94" i="6"/>
  <c r="BB103" i="4"/>
  <c r="BC82" i="4"/>
  <c r="BC93" i="4"/>
  <c r="BC106" i="4"/>
  <c r="BD100" i="4"/>
  <c r="BC102" i="4"/>
  <c r="BC98" i="4"/>
  <c r="BC103" i="4" s="1"/>
  <c r="BC104" i="4" s="1"/>
  <c r="BC97" i="4"/>
  <c r="BC101" i="4"/>
  <c r="BA94" i="4"/>
  <c r="BB83" i="4"/>
  <c r="BC89" i="4"/>
  <c r="BC91" i="4"/>
  <c r="BC90" i="4"/>
  <c r="BD76" i="4"/>
  <c r="BD105" i="4" s="1"/>
  <c r="BC79" i="4"/>
  <c r="BC86" i="4"/>
  <c r="BC88" i="4"/>
  <c r="BC87" i="4"/>
  <c r="BE75" i="4"/>
  <c r="BD92" i="4"/>
  <c r="BE96" i="4" l="1"/>
  <c r="BE111" i="4"/>
  <c r="BH95" i="6"/>
  <c r="BH108" i="6" s="1"/>
  <c r="BH109" i="6" s="1"/>
  <c r="BI84" i="6"/>
  <c r="BI85" i="6" s="1"/>
  <c r="BJ89" i="6"/>
  <c r="BJ97" i="6"/>
  <c r="BJ106" i="6"/>
  <c r="BJ93" i="6"/>
  <c r="BJ92" i="6"/>
  <c r="BJ86" i="6"/>
  <c r="BJ88" i="6"/>
  <c r="BJ83" i="6"/>
  <c r="BJ101" i="6"/>
  <c r="BJ91" i="6"/>
  <c r="BJ87" i="6"/>
  <c r="BJ90" i="6"/>
  <c r="BK76" i="6"/>
  <c r="BK112" i="6" s="1"/>
  <c r="BI94" i="6"/>
  <c r="BI107" i="6"/>
  <c r="BB104" i="4"/>
  <c r="BB84" i="4"/>
  <c r="BB94" i="4" s="1"/>
  <c r="BD82" i="4"/>
  <c r="BA107" i="4"/>
  <c r="BA108" i="4" s="1"/>
  <c r="BD93" i="4"/>
  <c r="BD106" i="4"/>
  <c r="BD102" i="4"/>
  <c r="BD101" i="4"/>
  <c r="BD98" i="4"/>
  <c r="BD103" i="4" s="1"/>
  <c r="BD104" i="4" s="1"/>
  <c r="BD97" i="4"/>
  <c r="BE100" i="4"/>
  <c r="BD89" i="4"/>
  <c r="BD90" i="4"/>
  <c r="BD91" i="4"/>
  <c r="BE76" i="4"/>
  <c r="BD79" i="4"/>
  <c r="BD88" i="4"/>
  <c r="BC83" i="4"/>
  <c r="BC84" i="4" s="1"/>
  <c r="BD87" i="4"/>
  <c r="BD86" i="4"/>
  <c r="BD85" i="4"/>
  <c r="BF75" i="4"/>
  <c r="BE92" i="4"/>
  <c r="BE87" i="4"/>
  <c r="BF96" i="4" l="1"/>
  <c r="BF111" i="4"/>
  <c r="BI95" i="6"/>
  <c r="BI108" i="6"/>
  <c r="BI109" i="6"/>
  <c r="BK91" i="6"/>
  <c r="BK92" i="6"/>
  <c r="BK106" i="6"/>
  <c r="BK87" i="6"/>
  <c r="BK93" i="6"/>
  <c r="BK86" i="6"/>
  <c r="BK88" i="6"/>
  <c r="BK97" i="6"/>
  <c r="BK83" i="6"/>
  <c r="BK89" i="6"/>
  <c r="BK101" i="6"/>
  <c r="BK90" i="6"/>
  <c r="BL76" i="6"/>
  <c r="BL112" i="6" s="1"/>
  <c r="BJ84" i="6"/>
  <c r="BJ85" i="6" s="1"/>
  <c r="BJ107" i="6"/>
  <c r="BJ94" i="6"/>
  <c r="BE82" i="4"/>
  <c r="BE83" i="4" s="1"/>
  <c r="BE105" i="4"/>
  <c r="BB107" i="4"/>
  <c r="BB108" i="4" s="1"/>
  <c r="BE93" i="4"/>
  <c r="BE106" i="4"/>
  <c r="BF100" i="4"/>
  <c r="BE97" i="4"/>
  <c r="BE98" i="4"/>
  <c r="BE103" i="4" s="1"/>
  <c r="BE101" i="4"/>
  <c r="BE102" i="4"/>
  <c r="BE86" i="4"/>
  <c r="BE88" i="4"/>
  <c r="BE85" i="4"/>
  <c r="BE79" i="4"/>
  <c r="BE89" i="4"/>
  <c r="BE91" i="4"/>
  <c r="BE90" i="4"/>
  <c r="BF76" i="4"/>
  <c r="BF105" i="4" s="1"/>
  <c r="BD83" i="4"/>
  <c r="BF92" i="4"/>
  <c r="BG75" i="4"/>
  <c r="BF88" i="4"/>
  <c r="BG96" i="4" l="1"/>
  <c r="BG111" i="4"/>
  <c r="BJ95" i="6"/>
  <c r="BJ108" i="6" s="1"/>
  <c r="BJ109" i="6" s="1"/>
  <c r="BL86" i="6"/>
  <c r="BL87" i="6"/>
  <c r="BL101" i="6"/>
  <c r="BL97" i="6"/>
  <c r="BL93" i="6"/>
  <c r="BL92" i="6"/>
  <c r="BL91" i="6"/>
  <c r="BL106" i="6"/>
  <c r="BL89" i="6"/>
  <c r="BL88" i="6"/>
  <c r="BL83" i="6"/>
  <c r="BL90" i="6"/>
  <c r="BM76" i="6"/>
  <c r="BM112" i="6" s="1"/>
  <c r="BK84" i="6"/>
  <c r="BK94" i="6"/>
  <c r="BK107" i="6"/>
  <c r="BE104" i="4"/>
  <c r="BF82" i="4"/>
  <c r="BF93" i="4"/>
  <c r="BF106" i="4"/>
  <c r="BG100" i="4"/>
  <c r="BF98" i="4"/>
  <c r="BF103" i="4" s="1"/>
  <c r="BF104" i="4" s="1"/>
  <c r="BF97" i="4"/>
  <c r="BF102" i="4"/>
  <c r="BF101" i="4"/>
  <c r="BE84" i="4"/>
  <c r="BE94" i="4" s="1"/>
  <c r="BF90" i="4"/>
  <c r="BF89" i="4"/>
  <c r="BF91" i="4"/>
  <c r="BG76" i="4"/>
  <c r="BG105" i="4" s="1"/>
  <c r="BF79" i="4"/>
  <c r="BD84" i="4"/>
  <c r="BC94" i="4"/>
  <c r="BF86" i="4"/>
  <c r="BF87" i="4"/>
  <c r="BF85" i="4"/>
  <c r="BH75" i="4"/>
  <c r="BG92" i="4"/>
  <c r="BH96" i="4" l="1"/>
  <c r="BH111" i="4"/>
  <c r="BM90" i="6"/>
  <c r="BM106" i="6"/>
  <c r="BM101" i="6"/>
  <c r="BM97" i="6"/>
  <c r="BM87" i="6"/>
  <c r="BM93" i="6"/>
  <c r="BM107" i="6" s="1"/>
  <c r="BM92" i="6"/>
  <c r="BM86" i="6"/>
  <c r="BM91" i="6"/>
  <c r="BM83" i="6"/>
  <c r="BM89" i="6"/>
  <c r="BM88" i="6"/>
  <c r="BK85" i="6"/>
  <c r="BK95" i="6" s="1"/>
  <c r="BK108" i="6" s="1"/>
  <c r="BK109" i="6" s="1"/>
  <c r="BL84" i="6"/>
  <c r="BL94" i="6"/>
  <c r="BL107" i="6"/>
  <c r="BE107" i="4"/>
  <c r="BD94" i="4"/>
  <c r="BD107" i="4" s="1"/>
  <c r="BG82" i="4"/>
  <c r="BC107" i="4"/>
  <c r="BC108" i="4" s="1"/>
  <c r="BG93" i="4"/>
  <c r="BG106" i="4"/>
  <c r="BH100" i="4"/>
  <c r="BG102" i="4"/>
  <c r="BG97" i="4"/>
  <c r="BG98" i="4"/>
  <c r="BG103" i="4" s="1"/>
  <c r="BG104" i="4" s="1"/>
  <c r="BG101" i="4"/>
  <c r="BG79" i="4"/>
  <c r="BF83" i="4"/>
  <c r="BF84" i="4" s="1"/>
  <c r="BG90" i="4"/>
  <c r="BG89" i="4"/>
  <c r="BG91" i="4"/>
  <c r="BH76" i="4"/>
  <c r="BH105" i="4" s="1"/>
  <c r="BG86" i="4"/>
  <c r="BG87" i="4"/>
  <c r="BG88" i="4"/>
  <c r="BG85" i="4"/>
  <c r="BH92" i="4"/>
  <c r="BI75" i="4"/>
  <c r="BH88" i="4"/>
  <c r="BI96" i="4" l="1"/>
  <c r="BI111" i="4"/>
  <c r="BL85" i="6"/>
  <c r="BL95" i="6" s="1"/>
  <c r="BL108" i="6" s="1"/>
  <c r="BL109" i="6" s="1"/>
  <c r="BM84" i="6"/>
  <c r="Q46" i="6"/>
  <c r="R46" i="6"/>
  <c r="S46" i="6"/>
  <c r="T46" i="6"/>
  <c r="P55" i="6"/>
  <c r="Q55" i="6"/>
  <c r="R55" i="6"/>
  <c r="S55" i="6"/>
  <c r="T55" i="6"/>
  <c r="P51" i="6"/>
  <c r="Q51" i="6"/>
  <c r="R51" i="6"/>
  <c r="S51" i="6"/>
  <c r="T51" i="6"/>
  <c r="P52" i="6"/>
  <c r="Q52" i="6"/>
  <c r="R52" i="6"/>
  <c r="S52" i="6"/>
  <c r="T52" i="6"/>
  <c r="Q54" i="6"/>
  <c r="R54" i="6"/>
  <c r="S54" i="6"/>
  <c r="T54" i="6"/>
  <c r="P49" i="6"/>
  <c r="Q49" i="6"/>
  <c r="R49" i="6"/>
  <c r="S49" i="6"/>
  <c r="T49" i="6"/>
  <c r="BM94" i="6"/>
  <c r="P56" i="6"/>
  <c r="Q56" i="6"/>
  <c r="R56" i="6"/>
  <c r="S56" i="6"/>
  <c r="T56" i="6"/>
  <c r="Q50" i="6"/>
  <c r="R50" i="6"/>
  <c r="S50" i="6"/>
  <c r="T50" i="6"/>
  <c r="Q60" i="6"/>
  <c r="R60" i="6"/>
  <c r="S60" i="6"/>
  <c r="T60" i="6"/>
  <c r="Q64" i="6"/>
  <c r="R64" i="6"/>
  <c r="S64" i="6"/>
  <c r="T64" i="6"/>
  <c r="P69" i="6"/>
  <c r="Q69" i="6"/>
  <c r="R69" i="6"/>
  <c r="S69" i="6"/>
  <c r="T69" i="6"/>
  <c r="Q53" i="6"/>
  <c r="R53" i="6"/>
  <c r="S53" i="6"/>
  <c r="T53" i="6"/>
  <c r="BD108" i="4"/>
  <c r="BE108" i="4" s="1"/>
  <c r="BH82" i="4"/>
  <c r="BH93" i="4"/>
  <c r="BH106" i="4"/>
  <c r="BI100" i="4"/>
  <c r="BH98" i="4"/>
  <c r="BH103" i="4" s="1"/>
  <c r="BH104" i="4" s="1"/>
  <c r="BH97" i="4"/>
  <c r="BH102" i="4"/>
  <c r="BH101" i="4"/>
  <c r="BH90" i="4"/>
  <c r="BH91" i="4"/>
  <c r="BH89" i="4"/>
  <c r="BI76" i="4"/>
  <c r="BH79" i="4"/>
  <c r="BG83" i="4"/>
  <c r="BG84" i="4" s="1"/>
  <c r="BH86" i="4"/>
  <c r="BH87" i="4"/>
  <c r="BH85" i="4"/>
  <c r="BF94" i="4"/>
  <c r="BI92" i="4"/>
  <c r="BJ75" i="4"/>
  <c r="BI86" i="4"/>
  <c r="BJ96" i="4" l="1"/>
  <c r="BJ111" i="4"/>
  <c r="U49" i="6"/>
  <c r="U55" i="6"/>
  <c r="U54" i="6"/>
  <c r="U46" i="6"/>
  <c r="U50" i="6"/>
  <c r="U52" i="6"/>
  <c r="P47" i="6"/>
  <c r="Q47" i="6"/>
  <c r="R47" i="6"/>
  <c r="S47" i="6"/>
  <c r="T47" i="6"/>
  <c r="U69" i="6"/>
  <c r="U28" i="6"/>
  <c r="BM85" i="6"/>
  <c r="U60" i="6"/>
  <c r="U53" i="6"/>
  <c r="P57" i="6"/>
  <c r="Q57" i="6"/>
  <c r="R57" i="6"/>
  <c r="S57" i="6"/>
  <c r="T57" i="6"/>
  <c r="Q70" i="6"/>
  <c r="R70" i="6"/>
  <c r="S70" i="6"/>
  <c r="T70" i="6"/>
  <c r="U51" i="6"/>
  <c r="U56" i="6"/>
  <c r="U64" i="6"/>
  <c r="BI82" i="4"/>
  <c r="BI105" i="4"/>
  <c r="BF107" i="4"/>
  <c r="BF108" i="4" s="1"/>
  <c r="BI93" i="4"/>
  <c r="BI106" i="4"/>
  <c r="BJ100" i="4"/>
  <c r="BI79" i="4"/>
  <c r="BI102" i="4"/>
  <c r="BI97" i="4"/>
  <c r="BI98" i="4"/>
  <c r="BI103" i="4" s="1"/>
  <c r="BI104" i="4" s="1"/>
  <c r="BI101" i="4"/>
  <c r="BG94" i="4"/>
  <c r="BH83" i="4"/>
  <c r="BH84" i="4" s="1"/>
  <c r="BH94" i="4" s="1"/>
  <c r="BH107" i="4" s="1"/>
  <c r="BI90" i="4"/>
  <c r="BI91" i="4"/>
  <c r="BI89" i="4"/>
  <c r="BJ76" i="4"/>
  <c r="BI87" i="4"/>
  <c r="BI85" i="4"/>
  <c r="BI88" i="4"/>
  <c r="BJ92" i="4"/>
  <c r="BK75" i="4"/>
  <c r="BK96" i="4" l="1"/>
  <c r="BK111" i="4"/>
  <c r="U47" i="6"/>
  <c r="U70" i="6"/>
  <c r="U57" i="6"/>
  <c r="P48" i="6"/>
  <c r="Q48" i="6"/>
  <c r="Q58" i="6" s="1"/>
  <c r="Q71" i="6" s="1"/>
  <c r="R48" i="6"/>
  <c r="R58" i="6" s="1"/>
  <c r="R71" i="6" s="1"/>
  <c r="S48" i="6"/>
  <c r="S58" i="6" s="1"/>
  <c r="S71" i="6" s="1"/>
  <c r="T48" i="6"/>
  <c r="T58" i="6" s="1"/>
  <c r="T71" i="6" s="1"/>
  <c r="BM95" i="6"/>
  <c r="BM108" i="6" s="1"/>
  <c r="BJ82" i="4"/>
  <c r="BJ105" i="4"/>
  <c r="BG107" i="4"/>
  <c r="BG108" i="4" s="1"/>
  <c r="BH108" i="4" s="1"/>
  <c r="BJ93" i="4"/>
  <c r="BJ106" i="4"/>
  <c r="BK100" i="4"/>
  <c r="BJ101" i="4"/>
  <c r="BJ97" i="4"/>
  <c r="BJ98" i="4"/>
  <c r="BJ103" i="4" s="1"/>
  <c r="BJ104" i="4" s="1"/>
  <c r="BJ102" i="4"/>
  <c r="BJ79" i="4"/>
  <c r="BI83" i="4"/>
  <c r="BI84" i="4" s="1"/>
  <c r="BI94" i="4" s="1"/>
  <c r="BI107" i="4" s="1"/>
  <c r="BJ90" i="4"/>
  <c r="BJ89" i="4"/>
  <c r="BJ91" i="4"/>
  <c r="BK76" i="4"/>
  <c r="BJ87" i="4"/>
  <c r="BJ88" i="4"/>
  <c r="BL75" i="4"/>
  <c r="BJ85" i="4"/>
  <c r="BJ86" i="4"/>
  <c r="BK92" i="4"/>
  <c r="BK87" i="4"/>
  <c r="BL96" i="4" l="1"/>
  <c r="BL111" i="4"/>
  <c r="BM109" i="6"/>
  <c r="L31" i="6"/>
  <c r="U48" i="6"/>
  <c r="U58" i="6" s="1"/>
  <c r="U71" i="6" s="1"/>
  <c r="P58" i="6"/>
  <c r="P71" i="6" s="1"/>
  <c r="U26" i="6"/>
  <c r="U30" i="6" s="1"/>
  <c r="BK82" i="4"/>
  <c r="BK105" i="4"/>
  <c r="BK93" i="4"/>
  <c r="BK106" i="4"/>
  <c r="BM75" i="4"/>
  <c r="BM111" i="4" s="1"/>
  <c r="BL100" i="4"/>
  <c r="BK101" i="4"/>
  <c r="BK102" i="4"/>
  <c r="BK97" i="4"/>
  <c r="BK98" i="4"/>
  <c r="BK103" i="4" s="1"/>
  <c r="BK104" i="4" s="1"/>
  <c r="BL92" i="4"/>
  <c r="BK79" i="4"/>
  <c r="BK91" i="4"/>
  <c r="BK89" i="4"/>
  <c r="BK90" i="4"/>
  <c r="BL76" i="4"/>
  <c r="BJ83" i="4"/>
  <c r="BJ84" i="4" s="1"/>
  <c r="BI108" i="4"/>
  <c r="BK85" i="4"/>
  <c r="BK88" i="4"/>
  <c r="BK86" i="4"/>
  <c r="L17" i="6" l="1"/>
  <c r="L14" i="6" s="1"/>
  <c r="L27" i="6" s="1"/>
  <c r="BM92" i="4"/>
  <c r="BM106" i="4" s="1"/>
  <c r="BM96" i="4"/>
  <c r="Q55" i="4"/>
  <c r="R55" i="4"/>
  <c r="S55" i="4"/>
  <c r="BL82" i="4"/>
  <c r="BL105" i="4"/>
  <c r="BM85" i="4"/>
  <c r="BL93" i="4"/>
  <c r="BL106" i="4"/>
  <c r="BL97" i="4"/>
  <c r="BL98" i="4"/>
  <c r="BL103" i="4" s="1"/>
  <c r="BL104" i="4" s="1"/>
  <c r="BL101" i="4"/>
  <c r="BL102" i="4"/>
  <c r="BM100" i="4"/>
  <c r="BJ94" i="4"/>
  <c r="BK83" i="4"/>
  <c r="BK84" i="4" s="1"/>
  <c r="BL90" i="4"/>
  <c r="BL91" i="4"/>
  <c r="BL89" i="4"/>
  <c r="BM76" i="4"/>
  <c r="BM105" i="4" s="1"/>
  <c r="BL79" i="4"/>
  <c r="BM88" i="4"/>
  <c r="BM87" i="4"/>
  <c r="BM86" i="4"/>
  <c r="BL85" i="4"/>
  <c r="BL87" i="4"/>
  <c r="BL88" i="4"/>
  <c r="BL86" i="4"/>
  <c r="L32" i="6" l="1"/>
  <c r="L28" i="6"/>
  <c r="BM93" i="4"/>
  <c r="T56" i="4" s="1"/>
  <c r="T55" i="4"/>
  <c r="U55" i="4" s="1"/>
  <c r="Q63" i="4"/>
  <c r="R63" i="4"/>
  <c r="S63" i="4"/>
  <c r="T63" i="4"/>
  <c r="Q68" i="4"/>
  <c r="R68" i="4"/>
  <c r="S68" i="4"/>
  <c r="T68" i="4"/>
  <c r="Q59" i="4"/>
  <c r="R59" i="4"/>
  <c r="S59" i="4"/>
  <c r="T59" i="4"/>
  <c r="P69" i="4"/>
  <c r="Q69" i="4"/>
  <c r="R69" i="4"/>
  <c r="S69" i="4"/>
  <c r="T69" i="4"/>
  <c r="Q49" i="4"/>
  <c r="R49" i="4"/>
  <c r="S49" i="4"/>
  <c r="T49" i="4"/>
  <c r="P56" i="4"/>
  <c r="Q56" i="4"/>
  <c r="R56" i="4"/>
  <c r="S56" i="4"/>
  <c r="Q50" i="4"/>
  <c r="R50" i="4"/>
  <c r="S50" i="4"/>
  <c r="T50" i="4"/>
  <c r="Q51" i="4"/>
  <c r="R51" i="4"/>
  <c r="S51" i="4"/>
  <c r="T51" i="4"/>
  <c r="Q48" i="4"/>
  <c r="R48" i="4"/>
  <c r="S48" i="4"/>
  <c r="T48" i="4"/>
  <c r="BM82" i="4"/>
  <c r="BJ107" i="4"/>
  <c r="BJ108" i="4" s="1"/>
  <c r="BM98" i="4"/>
  <c r="BM102" i="4"/>
  <c r="BM101" i="4"/>
  <c r="BM97" i="4"/>
  <c r="BM79" i="4"/>
  <c r="BM89" i="4"/>
  <c r="BM90" i="4"/>
  <c r="BM91" i="4"/>
  <c r="BL83" i="4"/>
  <c r="BL84" i="4" s="1"/>
  <c r="U24" i="4"/>
  <c r="BK94" i="4"/>
  <c r="U44" i="4"/>
  <c r="U40" i="4"/>
  <c r="U43" i="4"/>
  <c r="U41" i="4"/>
  <c r="U59" i="4" l="1"/>
  <c r="U68" i="4"/>
  <c r="P60" i="4"/>
  <c r="Q60" i="4"/>
  <c r="R60" i="4"/>
  <c r="S60" i="4"/>
  <c r="T60" i="4"/>
  <c r="P65" i="4"/>
  <c r="Q65" i="4"/>
  <c r="R65" i="4"/>
  <c r="S65" i="4"/>
  <c r="T65" i="4"/>
  <c r="P64" i="4"/>
  <c r="U23" i="4" s="1"/>
  <c r="Q64" i="4"/>
  <c r="R64" i="4"/>
  <c r="S64" i="4"/>
  <c r="T64" i="4"/>
  <c r="P61" i="4"/>
  <c r="Q61" i="4"/>
  <c r="R61" i="4"/>
  <c r="S61" i="4"/>
  <c r="T61" i="4"/>
  <c r="U63" i="4"/>
  <c r="U69" i="4"/>
  <c r="Q54" i="4"/>
  <c r="R54" i="4"/>
  <c r="S54" i="4"/>
  <c r="T54" i="4"/>
  <c r="Q45" i="4"/>
  <c r="R45" i="4"/>
  <c r="S45" i="4"/>
  <c r="T45" i="4"/>
  <c r="Q52" i="4"/>
  <c r="R52" i="4"/>
  <c r="S52" i="4"/>
  <c r="T52" i="4"/>
  <c r="BM83" i="4"/>
  <c r="U56" i="4"/>
  <c r="Q53" i="4"/>
  <c r="R53" i="4"/>
  <c r="S53" i="4"/>
  <c r="T53" i="4"/>
  <c r="P42" i="4"/>
  <c r="U21" i="4" s="1"/>
  <c r="Q42" i="4"/>
  <c r="R42" i="4"/>
  <c r="S42" i="4"/>
  <c r="T42" i="4"/>
  <c r="BM103" i="4"/>
  <c r="BK107" i="4"/>
  <c r="BK108" i="4" s="1"/>
  <c r="U51" i="4"/>
  <c r="U49" i="4"/>
  <c r="U50" i="4"/>
  <c r="U48" i="4"/>
  <c r="U28" i="4" l="1"/>
  <c r="U20" i="4"/>
  <c r="BM104" i="4"/>
  <c r="P66" i="4"/>
  <c r="U26" i="4" s="1"/>
  <c r="Q66" i="4"/>
  <c r="R66" i="4"/>
  <c r="S66" i="4"/>
  <c r="T66" i="4"/>
  <c r="U65" i="4"/>
  <c r="U64" i="4"/>
  <c r="U60" i="4"/>
  <c r="U61" i="4"/>
  <c r="U45" i="4"/>
  <c r="U52" i="4"/>
  <c r="U53" i="4"/>
  <c r="P57" i="4"/>
  <c r="U42" i="4"/>
  <c r="U54" i="4"/>
  <c r="BM84" i="4"/>
  <c r="Q46" i="4"/>
  <c r="R46" i="4"/>
  <c r="S46" i="4"/>
  <c r="T46" i="4"/>
  <c r="BL94" i="4"/>
  <c r="U29" i="4" l="1"/>
  <c r="P70" i="4"/>
  <c r="U66" i="4"/>
  <c r="Q67" i="4"/>
  <c r="R67" i="4"/>
  <c r="S67" i="4"/>
  <c r="T67" i="4"/>
  <c r="Q47" i="4"/>
  <c r="Q57" i="4" s="1"/>
  <c r="R47" i="4"/>
  <c r="S47" i="4"/>
  <c r="S57" i="4" s="1"/>
  <c r="T47" i="4"/>
  <c r="BM94" i="4"/>
  <c r="BM107" i="4" s="1"/>
  <c r="U46" i="4"/>
  <c r="BL107" i="4"/>
  <c r="BL108" i="4" s="1"/>
  <c r="Q70" i="4" l="1"/>
  <c r="S70" i="4"/>
  <c r="L30" i="4"/>
  <c r="U67" i="4"/>
  <c r="R57" i="4"/>
  <c r="R70" i="4" s="1"/>
  <c r="U47" i="4"/>
  <c r="U57" i="4" s="1"/>
  <c r="T57" i="4"/>
  <c r="T70" i="4" s="1"/>
  <c r="BM108" i="4"/>
  <c r="L16" i="4" s="1"/>
  <c r="U70" i="4" l="1"/>
  <c r="L13" i="4"/>
  <c r="L26" i="4" s="1"/>
  <c r="B77" i="4"/>
  <c r="L31" i="4" l="1"/>
  <c r="L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Ina Koch</author>
  </authors>
  <commentList>
    <comment ref="J19" authorId="0" shapeId="0" xr:uid="{C489FA0F-E514-4F48-9352-BEF4624D1D70}">
      <text>
        <r>
          <rPr>
            <b/>
            <sz val="9"/>
            <color rgb="FF000000"/>
            <rFont val="Tahoma"/>
            <family val="2"/>
          </rPr>
          <t xml:space="preserve">The red flag looks like this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Ina Koch</author>
  </authors>
  <commentList>
    <comment ref="F12" authorId="0" shapeId="0" xr:uid="{94734B50-A6CD-4893-B967-0DD8DAA68238}">
      <text>
        <r>
          <rPr>
            <sz val="9"/>
            <color rgb="FF000000"/>
            <rFont val="Tahoma"/>
            <family val="2"/>
          </rPr>
          <t>All cells in green are inputs, all other cells are calcuations and will auto-populate</t>
        </r>
      </text>
    </comment>
    <comment ref="F14" authorId="0" shapeId="0" xr:uid="{CC7A63AA-E100-4EB4-9D79-0A5F27FC21CE}">
      <text>
        <r>
          <rPr>
            <sz val="9"/>
            <color rgb="FF000000"/>
            <rFont val="Tahoma"/>
            <family val="2"/>
          </rPr>
          <t>Insert the Property Name so you can identify this model later</t>
        </r>
      </text>
    </comment>
    <comment ref="F15" authorId="0" shapeId="0" xr:uid="{EC2394DC-DEFF-47CB-A598-59F4D99B6CC4}">
      <text>
        <r>
          <rPr>
            <sz val="9"/>
            <color rgb="FF000000"/>
            <rFont val="Tahoma"/>
            <family val="2"/>
          </rPr>
          <t>Select your currency. Inn case the preferred option is not out there, do reach out and we will modify it free of charge</t>
        </r>
      </text>
    </comment>
    <comment ref="F16" authorId="0" shapeId="0" xr:uid="{95AB3D4A-BF2B-4898-9EF9-647926AB1B04}">
      <text>
        <r>
          <rPr>
            <sz val="9"/>
            <color rgb="FF000000"/>
            <rFont val="Tahoma"/>
            <family val="2"/>
          </rPr>
          <t>First month of projections and point of purchase</t>
        </r>
      </text>
    </comment>
    <comment ref="L37" authorId="0" shapeId="0" xr:uid="{0E951A7A-64FD-489D-9582-4C2826619FA5}">
      <text>
        <r>
          <rPr>
            <sz val="9"/>
            <color rgb="FF000000"/>
            <rFont val="Tahoma"/>
            <family val="2"/>
          </rPr>
          <t>The month after purchase of the property when your first tenant will move in/pay ren</t>
        </r>
        <r>
          <rPr>
            <b/>
            <sz val="9"/>
            <color rgb="FF000000"/>
            <rFont val="Tahoma"/>
            <family val="2"/>
          </rPr>
          <t>t</t>
        </r>
      </text>
    </comment>
    <comment ref="E38" authorId="0" shapeId="0" xr:uid="{0355D693-9E6D-4FE0-8230-F5CFAAD182D5}">
      <text>
        <r>
          <rPr>
            <sz val="9"/>
            <color rgb="FF000000"/>
            <rFont val="Tahoma"/>
            <family val="2"/>
          </rPr>
          <t xml:space="preserve">The proportion of cash you will be putting down
</t>
        </r>
        <r>
          <rPr>
            <sz val="9"/>
            <color rgb="FF000000"/>
            <rFont val="Tahoma"/>
            <family val="2"/>
          </rPr>
          <t>(Most lenders ask for a minimum of 30% for buy to lets)</t>
        </r>
      </text>
    </comment>
    <comment ref="K38" authorId="0" shapeId="0" xr:uid="{8C0CBEBC-B820-4CAF-AA04-9003B95854D9}">
      <text>
        <r>
          <rPr>
            <sz val="9"/>
            <color rgb="FF000000"/>
            <rFont val="Tahoma"/>
            <family val="2"/>
          </rPr>
          <t>Expected rent achieved in the property per month</t>
        </r>
      </text>
    </comment>
    <comment ref="F39" authorId="0" shapeId="0" xr:uid="{7F8457B7-30DB-49C0-8DF5-5A42B6885499}">
      <text>
        <r>
          <rPr>
            <sz val="9"/>
            <color rgb="FF000000"/>
            <rFont val="Tahoma"/>
            <family val="2"/>
          </rPr>
          <t>This usually depends on your location</t>
        </r>
      </text>
    </comment>
    <comment ref="K39" authorId="0" shapeId="0" xr:uid="{117925E4-78F2-47A4-87FE-D7EF0CFB804E}">
      <text>
        <r>
          <rPr>
            <sz val="9"/>
            <color indexed="81"/>
            <rFont val="Tahoma"/>
            <family val="2"/>
          </rPr>
          <t>Estimated time the property may be vacant due to tentant changes</t>
        </r>
      </text>
    </comment>
    <comment ref="F40" authorId="0" shapeId="0" xr:uid="{955E599B-58FE-40ED-A65A-B7BE5A1D5CF5}">
      <text>
        <r>
          <rPr>
            <sz val="9"/>
            <color indexed="81"/>
            <rFont val="Tahoma"/>
            <family val="2"/>
          </rPr>
          <t>Costs for solicitors, contracts, searches &amp; other</t>
        </r>
      </text>
    </comment>
    <comment ref="K40" authorId="0" shapeId="0" xr:uid="{FEFB5307-D783-442C-BF1E-9D90091AC31E}">
      <text>
        <r>
          <rPr>
            <sz val="9"/>
            <color indexed="81"/>
            <rFont val="Tahoma"/>
            <family val="2"/>
          </rPr>
          <t>If the property will be managed, the property manager will take a % of the acutal rental revenue</t>
        </r>
      </text>
    </comment>
    <comment ref="F41" authorId="0" shapeId="0" xr:uid="{09ACF164-B11C-47D9-BCEF-CC0F7B8660C8}">
      <text>
        <r>
          <rPr>
            <sz val="9"/>
            <color rgb="FF000000"/>
            <rFont val="Tahoma"/>
            <family val="2"/>
          </rPr>
          <t>Company incorporation and other accounting support</t>
        </r>
      </text>
    </comment>
    <comment ref="K41" authorId="0" shapeId="0" xr:uid="{CEDF97C9-0A0E-4162-BE3F-469F9A998011}">
      <text>
        <r>
          <rPr>
            <sz val="9"/>
            <color indexed="81"/>
            <rFont val="Tahoma"/>
            <family val="2"/>
          </rPr>
          <t>Any service charge that may be payable monthly (if applicable)</t>
        </r>
      </text>
    </comment>
    <comment ref="E42" authorId="0" shapeId="0" xr:uid="{866A8F64-7273-4C39-BB8A-C649299D3400}">
      <text>
        <r>
          <rPr>
            <sz val="9"/>
            <color rgb="FF000000"/>
            <rFont val="Tahoma"/>
            <family val="2"/>
          </rPr>
          <t xml:space="preserve">Estate agent commission (if applicable) 
</t>
        </r>
        <r>
          <rPr>
            <sz val="9"/>
            <color rgb="FF000000"/>
            <rFont val="Tahoma"/>
            <family val="2"/>
          </rPr>
          <t>This is often a % of the purchase price</t>
        </r>
      </text>
    </comment>
    <comment ref="K42" authorId="0" shapeId="0" xr:uid="{FCCD5FDB-09C5-481F-9D90-E2EEDFB2DA93}">
      <text>
        <r>
          <rPr>
            <sz val="9"/>
            <color indexed="81"/>
            <rFont val="Tahoma"/>
            <family val="2"/>
          </rPr>
          <t>Any ground rent due on a monthly basis (if applicable)</t>
        </r>
      </text>
    </comment>
    <comment ref="E43" authorId="0" shapeId="0" xr:uid="{2FEB405D-7AC2-419F-80F4-765F23385B62}">
      <text>
        <r>
          <rPr>
            <sz val="9"/>
            <color indexed="81"/>
            <rFont val="Tahoma"/>
            <family val="2"/>
          </rPr>
          <t>Any commission for sourcing the property</t>
        </r>
      </text>
    </comment>
    <comment ref="K43" authorId="0" shapeId="0" xr:uid="{FCC7B7E6-E014-4D02-B160-EBA612FC579C}">
      <text>
        <r>
          <rPr>
            <sz val="9"/>
            <color indexed="81"/>
            <rFont val="Tahoma"/>
            <family val="2"/>
          </rPr>
          <t>Any insurance costs like Landlord insurance, home contents insurance and other</t>
        </r>
      </text>
    </comment>
    <comment ref="E44" authorId="0" shapeId="0" xr:uid="{49E1C63F-CAFF-45BF-AB47-A8AD69995BE6}">
      <text>
        <r>
          <rPr>
            <sz val="9"/>
            <color indexed="81"/>
            <rFont val="Tahoma"/>
            <family val="2"/>
          </rPr>
          <t>Any costs for home valuations, sruveys etc</t>
        </r>
      </text>
    </comment>
    <comment ref="K44" authorId="0" shapeId="0" xr:uid="{F216AB6D-B7C4-4C37-848F-953D6FD48AE3}">
      <text>
        <r>
          <rPr>
            <sz val="9"/>
            <color indexed="81"/>
            <rFont val="Tahoma"/>
            <family val="2"/>
          </rPr>
          <t>Monthly council taxes due</t>
        </r>
      </text>
    </comment>
    <comment ref="F45" authorId="0" shapeId="0" xr:uid="{9585A0B9-261E-4678-9B4F-620BBFA4EF8B}">
      <text>
        <r>
          <rPr>
            <sz val="9"/>
            <color rgb="FF000000"/>
            <rFont val="Tahoma"/>
            <family val="2"/>
          </rPr>
          <t>Please populate with any other costs</t>
        </r>
      </text>
    </comment>
    <comment ref="K45" authorId="0" shapeId="0" xr:uid="{FE506E86-FBFC-4609-B49A-04873930C83C}">
      <text>
        <r>
          <rPr>
            <sz val="9"/>
            <color rgb="FF000000"/>
            <rFont val="Tahoma"/>
            <family val="2"/>
          </rPr>
          <t>Please populate with any other monthly costs</t>
        </r>
      </text>
    </comment>
    <comment ref="F46" authorId="0" shapeId="0" xr:uid="{43F6EFBC-7894-49A1-896E-9809B16A738D}">
      <text>
        <r>
          <rPr>
            <sz val="9"/>
            <color indexed="81"/>
            <rFont val="Tahoma"/>
            <family val="2"/>
          </rPr>
          <t>Please populate with any other costs</t>
        </r>
      </text>
    </comment>
    <comment ref="K46" authorId="0" shapeId="0" xr:uid="{07F31477-E3AF-41B0-A479-BAB6C2AFDBB3}">
      <text>
        <r>
          <rPr>
            <sz val="9"/>
            <color rgb="FF000000"/>
            <rFont val="Tahoma"/>
            <family val="2"/>
          </rPr>
          <t>Please populate with any other monthly costs</t>
        </r>
      </text>
    </comment>
    <comment ref="F47" authorId="0" shapeId="0" xr:uid="{D50E86E6-D1EE-442A-AD93-62A641CCBBE4}">
      <text>
        <r>
          <rPr>
            <sz val="9"/>
            <color indexed="81"/>
            <rFont val="Tahoma"/>
            <family val="2"/>
          </rPr>
          <t>Please populate with any other costs</t>
        </r>
      </text>
    </comment>
    <comment ref="K47" authorId="0" shapeId="0" xr:uid="{0C3676CC-5484-4F15-8C4A-B9E841941356}">
      <text>
        <r>
          <rPr>
            <sz val="9"/>
            <color indexed="81"/>
            <rFont val="Tahoma"/>
            <family val="2"/>
          </rPr>
          <t>Please populate with any other monthly costs</t>
        </r>
      </text>
    </comment>
    <comment ref="L48" authorId="0" shapeId="0" xr:uid="{0DC794D5-395E-4963-896A-6955CCE33A8D}">
      <text>
        <r>
          <rPr>
            <sz val="9"/>
            <color rgb="FF000000"/>
            <rFont val="Tahoma"/>
            <family val="2"/>
          </rPr>
          <t>Annual growth of rent charged</t>
        </r>
      </text>
    </comment>
    <comment ref="L49" authorId="0" shapeId="0" xr:uid="{60430A42-AA5F-4A16-B6BC-3DC2173703BC}">
      <text>
        <r>
          <rPr>
            <sz val="9"/>
            <color rgb="FF000000"/>
            <rFont val="Tahoma"/>
            <family val="2"/>
          </rPr>
          <t>Annual growth of costs</t>
        </r>
      </text>
    </comment>
    <comment ref="L50" authorId="0" shapeId="0" xr:uid="{64F6BC0E-5644-42AA-803B-4B40FB783B51}">
      <text>
        <r>
          <rPr>
            <sz val="9"/>
            <color indexed="81"/>
            <rFont val="Tahoma"/>
            <family val="2"/>
          </rPr>
          <t>This is the average net cash you make from renting the property prior to covering your financing costs</t>
        </r>
      </text>
    </comment>
    <comment ref="F51" authorId="0" shapeId="0" xr:uid="{9BA34BD7-8721-4CEA-AB6E-A382E83E30A8}">
      <text>
        <r>
          <rPr>
            <sz val="9"/>
            <color rgb="FF000000"/>
            <rFont val="Tahoma"/>
            <family val="2"/>
          </rPr>
          <t>Duration of the bridging loan</t>
        </r>
      </text>
    </comment>
    <comment ref="E52" authorId="0" shapeId="0" xr:uid="{D9D6A303-462F-4107-9DF9-1DBB86B4C5AF}">
      <text>
        <r>
          <rPr>
            <sz val="9"/>
            <color rgb="FF000000"/>
            <rFont val="Tahoma"/>
            <family val="2"/>
          </rPr>
          <t>This is an interest only mortgage and assumes no amortization</t>
        </r>
      </text>
    </comment>
    <comment ref="E53" authorId="0" shapeId="0" xr:uid="{D03B97D9-6E09-4A82-9DD2-74DA04909805}">
      <text>
        <r>
          <rPr>
            <sz val="9"/>
            <color indexed="81"/>
            <rFont val="Tahoma"/>
            <family val="2"/>
          </rPr>
          <t>Fees your mortgage broker charges</t>
        </r>
      </text>
    </comment>
    <comment ref="E54" authorId="0" shapeId="0" xr:uid="{FC24441A-089C-4752-9115-B32C958568E3}">
      <text>
        <r>
          <rPr>
            <sz val="9"/>
            <color indexed="81"/>
            <rFont val="Tahoma"/>
            <family val="2"/>
          </rPr>
          <t>Product fees from lender</t>
        </r>
      </text>
    </comment>
    <comment ref="F55" authorId="0" shapeId="0" xr:uid="{67CB2364-117F-44E2-987F-66123D179D3A}">
      <text>
        <r>
          <rPr>
            <sz val="9"/>
            <color rgb="FF000000"/>
            <rFont val="Tahoma"/>
            <family val="2"/>
          </rPr>
          <t>Valuation of your home for the lender (often) to be covered by you</t>
        </r>
      </text>
    </comment>
    <comment ref="L55" authorId="0" shapeId="0" xr:uid="{0810103E-7770-4108-8FAD-3DCCFCCF27C4}">
      <text>
        <r>
          <rPr>
            <sz val="9"/>
            <color indexed="81"/>
            <rFont val="Tahoma"/>
            <family val="2"/>
          </rPr>
          <t>Overall return of your investment without deducting taxes and expenses
Calculation: Yearly rental revenue divided by total investment costs</t>
        </r>
      </text>
    </comment>
    <comment ref="F56" authorId="0" shapeId="0" xr:uid="{DC6E191B-F83B-44F4-A253-3A3E0D2836F8}">
      <text>
        <r>
          <rPr>
            <sz val="9"/>
            <color indexed="81"/>
            <rFont val="Tahoma"/>
            <family val="2"/>
          </rPr>
          <t>Lender's solicitors fees r (often) to be covered by you</t>
        </r>
      </text>
    </comment>
    <comment ref="L56" authorId="0" shapeId="0" xr:uid="{0320C15A-27DF-46B5-B511-64D805D40E82}">
      <text>
        <r>
          <rPr>
            <sz val="9"/>
            <color indexed="81"/>
            <rFont val="Tahoma"/>
            <family val="2"/>
          </rPr>
          <t>This is the average net cash you make from renting the property prior to covering your financing costs</t>
        </r>
      </text>
    </comment>
    <comment ref="F57" authorId="0" shapeId="0" xr:uid="{5CF3BA3E-7E33-4EC9-88D9-96D88742D8F8}">
      <text>
        <r>
          <rPr>
            <sz val="9"/>
            <color indexed="81"/>
            <rFont val="Tahoma"/>
            <family val="2"/>
          </rPr>
          <t>Any other fees that your lender might charge</t>
        </r>
      </text>
    </comment>
    <comment ref="L57" authorId="0" shapeId="0" xr:uid="{1BA96B1A-9CA9-4F08-924F-5BA68855D934}">
      <text>
        <r>
          <rPr>
            <sz val="9"/>
            <color indexed="81"/>
            <rFont val="Tahoma"/>
            <family val="2"/>
          </rPr>
          <t>Overall return of your investment after deducting taxes and expenses
Calculation: Yearly rental net cashflow divided by total investment costs</t>
        </r>
      </text>
    </comment>
    <comment ref="E58" authorId="0" shapeId="0" xr:uid="{EDA30220-CC27-48D2-9A23-41CC6B3C3749}">
      <text>
        <r>
          <rPr>
            <sz val="9"/>
            <color rgb="FF000000"/>
            <rFont val="Tahoma"/>
            <family val="2"/>
          </rPr>
          <t>This is usually charged at the end of the term (as defined in 2.2)</t>
        </r>
      </text>
    </comment>
    <comment ref="F59" authorId="0" shapeId="0" xr:uid="{294D9C6E-9BD2-4A5F-8E69-755EF44C7126}">
      <text>
        <r>
          <rPr>
            <sz val="9"/>
            <color indexed="81"/>
            <rFont val="Tahoma"/>
            <family val="2"/>
          </rPr>
          <t>This is the total amount of cash needed to purchase the property</t>
        </r>
      </text>
    </comment>
    <comment ref="K60" authorId="0" shapeId="0" xr:uid="{17FFF569-3A29-4F8B-B23E-BBCED36D475B}">
      <text>
        <r>
          <rPr>
            <sz val="9"/>
            <color rgb="FF000000"/>
            <rFont val="Tahoma"/>
            <family val="2"/>
          </rPr>
          <t>Select your type of mortgage</t>
        </r>
      </text>
    </comment>
    <comment ref="L61" authorId="0" shapeId="0" xr:uid="{3809C844-27C9-42C7-A780-F7AEAFDF02C4}">
      <text>
        <r>
          <rPr>
            <sz val="9"/>
            <color rgb="FF000000"/>
            <rFont val="Tahoma"/>
            <family val="2"/>
          </rPr>
          <t>Duration of the new loan term</t>
        </r>
      </text>
    </comment>
    <comment ref="K62" authorId="0" shapeId="0" xr:uid="{7E044C65-C586-4B05-A9D5-4FCD4B73A081}">
      <text>
        <r>
          <rPr>
            <b/>
            <sz val="9"/>
            <color rgb="FF000000"/>
            <rFont val="Tahoma"/>
            <family val="2"/>
          </rPr>
          <t>Ina Koch: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The proportion of debt to property value
</t>
        </r>
        <r>
          <rPr>
            <sz val="9"/>
            <color rgb="FF000000"/>
            <rFont val="Tahoma"/>
            <family val="2"/>
          </rPr>
          <t>(Most lenders do at maximum of 75% for buy to lets)</t>
        </r>
      </text>
    </comment>
    <comment ref="F63" authorId="0" shapeId="0" xr:uid="{8494F982-9557-4FB8-AA96-07D3B7092E44}">
      <text>
        <r>
          <rPr>
            <sz val="9"/>
            <color rgb="FF000000"/>
            <rFont val="Tahoma"/>
            <family val="2"/>
          </rPr>
          <t>Cost of the refurbishment - this will be distributed evenly across the months</t>
        </r>
      </text>
    </comment>
    <comment ref="K63" authorId="0" shapeId="0" xr:uid="{60D943CA-B1C1-457A-9CB5-26C75D478B76}">
      <text>
        <r>
          <rPr>
            <sz val="9"/>
            <color indexed="81"/>
            <rFont val="Tahoma"/>
            <family val="2"/>
          </rPr>
          <t>Product fees and ay other charges from your lender</t>
        </r>
      </text>
    </comment>
    <comment ref="F64" authorId="0" shapeId="0" xr:uid="{5447E986-2C1E-49D5-B81C-542E1BBABBBF}">
      <text>
        <r>
          <rPr>
            <sz val="9"/>
            <color rgb="FF000000"/>
            <rFont val="Tahoma"/>
            <family val="2"/>
          </rPr>
          <t>Please populate with the amount of months a refurbishment will take (if any)</t>
        </r>
      </text>
    </comment>
    <comment ref="K64" authorId="0" shapeId="0" xr:uid="{E7C750D8-1F59-4B90-9764-B85A0DE5F6A2}">
      <text>
        <r>
          <rPr>
            <sz val="9"/>
            <color indexed="81"/>
            <rFont val="Tahoma"/>
            <family val="2"/>
          </rPr>
          <t>This is an interest only mortgage and assumes no amortization</t>
        </r>
      </text>
    </comment>
    <comment ref="K65" authorId="0" shapeId="0" xr:uid="{8AE5D4E7-DF4F-4497-934C-D48AD6A792FA}">
      <text>
        <r>
          <rPr>
            <sz val="9"/>
            <color rgb="FF000000"/>
            <rFont val="Tahoma"/>
            <family val="2"/>
          </rPr>
          <t>This includes an amortizing portion (Debt repayment over the term)</t>
        </r>
      </text>
    </comment>
    <comment ref="L66" authorId="0" shapeId="0" xr:uid="{903029AF-AC55-47A1-9084-C467C4380000}">
      <text>
        <r>
          <rPr>
            <sz val="9"/>
            <color indexed="81"/>
            <rFont val="Tahoma"/>
            <family val="2"/>
          </rPr>
          <t>This is the amount of money that would be paid out thanks to refinancing
Calculation: New loan - existing loans oustanding - new loan arrangement fee</t>
        </r>
      </text>
    </comment>
    <comment ref="E67" authorId="0" shapeId="0" xr:uid="{644651B6-7DCE-4BCC-8FBC-86020E5263BF}">
      <text>
        <r>
          <rPr>
            <sz val="9"/>
            <color rgb="FF000000"/>
            <rFont val="Tahoma"/>
            <family val="2"/>
          </rPr>
          <t>This is just for the financing of refurbishment - put to 0% if you are fully covering it without additional financing</t>
        </r>
      </text>
    </comment>
    <comment ref="F68" authorId="0" shapeId="0" xr:uid="{3F7ECAFD-CF98-43B6-AA3C-C82A05600CDA}">
      <text>
        <r>
          <rPr>
            <sz val="9"/>
            <color rgb="FF000000"/>
            <rFont val="Tahoma"/>
            <family val="2"/>
          </rPr>
          <t>Duration of the refurbishment loan</t>
        </r>
      </text>
    </comment>
    <comment ref="E69" authorId="0" shapeId="0" xr:uid="{A4707C80-B939-4C2D-8FF7-BD3D09D9B12E}">
      <text>
        <r>
          <rPr>
            <sz val="9"/>
            <color rgb="FF000000"/>
            <rFont val="Tahoma"/>
            <family val="2"/>
          </rPr>
          <t>This is an interest only mortgage and assumes no amortization</t>
        </r>
      </text>
    </comment>
    <comment ref="K69" authorId="0" shapeId="0" xr:uid="{BA040E84-F8E0-4F0D-A558-DF7DD00F4949}">
      <text>
        <r>
          <rPr>
            <sz val="9"/>
            <color rgb="FF000000"/>
            <rFont val="Tahoma"/>
            <family val="2"/>
          </rPr>
          <t>Months until sale of property from purchase date</t>
        </r>
      </text>
    </comment>
    <comment ref="E70" authorId="0" shapeId="0" xr:uid="{32496973-BBEF-41C5-9DC9-CFF7DB9147C2}">
      <text>
        <r>
          <rPr>
            <sz val="9"/>
            <color indexed="81"/>
            <rFont val="Tahoma"/>
            <family val="2"/>
          </rPr>
          <t>Product fees and ay other charges from your lender</t>
        </r>
      </text>
    </comment>
    <comment ref="L70" authorId="0" shapeId="0" xr:uid="{35989B55-ABF9-4582-9054-4376AC3BA580}">
      <text>
        <r>
          <rPr>
            <sz val="9"/>
            <color rgb="FF000000"/>
            <rFont val="Tahoma"/>
            <family val="2"/>
          </rPr>
          <t>Estimated sales price</t>
        </r>
      </text>
    </comment>
    <comment ref="F71" authorId="0" shapeId="0" xr:uid="{4CE18C7A-711E-4CAC-93B7-0E4F70D0EECC}">
      <text>
        <r>
          <rPr>
            <sz val="9"/>
            <color indexed="81"/>
            <rFont val="Tahoma"/>
            <family val="2"/>
          </rPr>
          <t>This is the total amount of cash needed to purchase the property</t>
        </r>
      </text>
    </comment>
    <comment ref="K71" authorId="0" shapeId="0" xr:uid="{C2B5B5B1-F299-4483-B4B5-02F3B500F4C6}">
      <text>
        <r>
          <rPr>
            <sz val="9"/>
            <color rgb="FF000000"/>
            <rFont val="Tahoma"/>
            <family val="2"/>
          </rPr>
          <t>Sales agent costs, legal costs and any other sales associated costs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<sst xmlns="http://schemas.openxmlformats.org/spreadsheetml/2006/main" count="281" uniqueCount="142">
  <si>
    <t>Property</t>
  </si>
  <si>
    <t>1.2. Deposit</t>
  </si>
  <si>
    <t>1.4. Legal &amp; Search Fees</t>
  </si>
  <si>
    <t>1.5. Accountancy / set up Fees</t>
  </si>
  <si>
    <t>Date</t>
  </si>
  <si>
    <t>1.6. Broker Fees</t>
  </si>
  <si>
    <t>1.7. Sourcing Fees</t>
  </si>
  <si>
    <t>Purchase</t>
  </si>
  <si>
    <t>Rent</t>
  </si>
  <si>
    <t>Voids</t>
  </si>
  <si>
    <t>Service charge</t>
  </si>
  <si>
    <t>Ground rent</t>
  </si>
  <si>
    <t>Insurance</t>
  </si>
  <si>
    <t>Sale</t>
  </si>
  <si>
    <t>Sale costs</t>
  </si>
  <si>
    <t>Unlevered CF</t>
  </si>
  <si>
    <t>Interest</t>
  </si>
  <si>
    <t>Debt repayment</t>
  </si>
  <si>
    <t>Levered CF</t>
  </si>
  <si>
    <t>Cumulative</t>
  </si>
  <si>
    <t>Council tax</t>
  </si>
  <si>
    <t>Valuation fee</t>
  </si>
  <si>
    <t>Property Name</t>
  </si>
  <si>
    <t>Populate all cells with this colour</t>
  </si>
  <si>
    <t>1.10. Other</t>
  </si>
  <si>
    <t>1.11. Other</t>
  </si>
  <si>
    <t>Refurbishment costs</t>
  </si>
  <si>
    <t>1.9. Other</t>
  </si>
  <si>
    <t>Year</t>
  </si>
  <si>
    <t>Purchase fees (Costs 1.4 to 1.11)</t>
  </si>
  <si>
    <t xml:space="preserve">Return on Investment </t>
  </si>
  <si>
    <t>5.2 Sale price</t>
  </si>
  <si>
    <t>Currency</t>
  </si>
  <si>
    <t>1.8. Appraisal/Survey Fees</t>
  </si>
  <si>
    <t>Property/Land Tax</t>
  </si>
  <si>
    <t>1.3. Property/Land Tax</t>
  </si>
  <si>
    <t>% of PP</t>
  </si>
  <si>
    <t>1.1. Purchase price (PP)</t>
  </si>
  <si>
    <t>% of Debt</t>
  </si>
  <si>
    <t>5.2. Sale costs (% of Sale Price)</t>
  </si>
  <si>
    <t>5.1. Time of sale (Month after acquisition)</t>
  </si>
  <si>
    <t>Total</t>
  </si>
  <si>
    <t>Start date</t>
  </si>
  <si>
    <t>2.1. LTV - on property</t>
  </si>
  <si>
    <t>3. Refurbisment</t>
  </si>
  <si>
    <t>4. Additional debt for refurbishment</t>
  </si>
  <si>
    <t>BUY</t>
  </si>
  <si>
    <t>REFURBISH/RENOVATE</t>
  </si>
  <si>
    <t>RENT</t>
  </si>
  <si>
    <t>REFINANCE</t>
  </si>
  <si>
    <t>Gross Yield</t>
  </si>
  <si>
    <t>Net Yield</t>
  </si>
  <si>
    <t>1. Purchase below market value</t>
  </si>
  <si>
    <t xml:space="preserve">Equity required to buy </t>
  </si>
  <si>
    <t>2. Initial bridging debt to purchase</t>
  </si>
  <si>
    <t>Equity required to refurbish/renovate</t>
  </si>
  <si>
    <t>% of Cost</t>
  </si>
  <si>
    <t>5. Income &amp; Expenses</t>
  </si>
  <si>
    <t>5.1. Rent (pcm / p.a.)</t>
  </si>
  <si>
    <t>5.2. Assumed voids (% of Rent)</t>
  </si>
  <si>
    <t>5.4. Service charge (pcm / p.a.)</t>
  </si>
  <si>
    <t>5.5. Ground rent (pcm / p.a.)</t>
  </si>
  <si>
    <t>5.6. Insurance (pcm / p.a.)</t>
  </si>
  <si>
    <t>5.7. Council tax (pcm / p.a.)</t>
  </si>
  <si>
    <t>5.8. Other (pcm / p.a.)</t>
  </si>
  <si>
    <t>5.9. Other (pcm / p.a.)</t>
  </si>
  <si>
    <t>5.10. Other (pcm / p.a.)</t>
  </si>
  <si>
    <t>5.11. Rent growth (annual)</t>
  </si>
  <si>
    <t>5.12. Costs growth (annual)</t>
  </si>
  <si>
    <t>6. Revaluation</t>
  </si>
  <si>
    <t>3.1. Refurbishment costs</t>
  </si>
  <si>
    <t>3.2. Refurbishment time</t>
  </si>
  <si>
    <t>4.1. LTV of refurbishment costs</t>
  </si>
  <si>
    <t xml:space="preserve">6.1. Property value </t>
  </si>
  <si>
    <t>7. New debt (Buy to Let)</t>
  </si>
  <si>
    <t>Amortizing (Interest+Repayment)</t>
  </si>
  <si>
    <t>7.1. Type of Mortgage</t>
  </si>
  <si>
    <t>7.2. Loan term (years)</t>
  </si>
  <si>
    <t>7.3. LTV / mortgage amount</t>
  </si>
  <si>
    <t>7.4. Lender set-up fees (% of debt)</t>
  </si>
  <si>
    <t>Debt Drawdown -Purchase</t>
  </si>
  <si>
    <t>Debt Drawdown -Refurbishment</t>
  </si>
  <si>
    <t>Debt Repayment -Purchase</t>
  </si>
  <si>
    <t>Debt Repayment-Refurbishment</t>
  </si>
  <si>
    <t>2.2. Term (months)</t>
  </si>
  <si>
    <t>2.3. Interest (p.a.)</t>
  </si>
  <si>
    <t>4.2. Term (months)</t>
  </si>
  <si>
    <t>4.3. Interest (p.a.)</t>
  </si>
  <si>
    <t>4.4. Lender set-up fees</t>
  </si>
  <si>
    <t>Debt Drawdown -Refinancing</t>
  </si>
  <si>
    <t>7.5. Interest only - Interest (p.a.) / Monthly Cost</t>
  </si>
  <si>
    <t>7.6. Amortizing - Interest (p.a.) / Monthly Cost</t>
  </si>
  <si>
    <t>Debt service</t>
  </si>
  <si>
    <t>Debt Repayment-Refinancing</t>
  </si>
  <si>
    <t>Average cashflow post debt (Refinanced)</t>
  </si>
  <si>
    <t>Average cashflow pre debt (Year 1)</t>
  </si>
  <si>
    <t>5.1. Month of tenancy start</t>
  </si>
  <si>
    <t>8. Option Sale</t>
  </si>
  <si>
    <t>Lender Fees</t>
  </si>
  <si>
    <t>Sales</t>
  </si>
  <si>
    <t>Sales Costs</t>
  </si>
  <si>
    <t>Total investment required</t>
  </si>
  <si>
    <t>of which equity required to renovate</t>
  </si>
  <si>
    <t>of which equity required to buy</t>
  </si>
  <si>
    <t>Payout at refinancing after lender fees</t>
  </si>
  <si>
    <t>Profit</t>
  </si>
  <si>
    <t>Total Profit over holding period</t>
  </si>
  <si>
    <t xml:space="preserve">9. Yearly Cash Flow </t>
  </si>
  <si>
    <t xml:space="preserve">10. Monthly Cash Flow </t>
  </si>
  <si>
    <t>(OPTIONAL) SALE</t>
  </si>
  <si>
    <t>BUY/RENOVATE/REFURBISH</t>
  </si>
  <si>
    <t>Financing to purchase</t>
  </si>
  <si>
    <t>Deposit to purchase</t>
  </si>
  <si>
    <t>Debt to purchase</t>
  </si>
  <si>
    <t>Purchase &amp; Valuation fees</t>
  </si>
  <si>
    <t>Debt to refurbish</t>
  </si>
  <si>
    <t>Lender fees &amp; Interest</t>
  </si>
  <si>
    <t>Refinancing debt</t>
  </si>
  <si>
    <t>Lender fees &amp; debt service</t>
  </si>
  <si>
    <t>Cash in Hand</t>
  </si>
  <si>
    <t>Costs to rent</t>
  </si>
  <si>
    <t>2.4. Mortgage Broker fees</t>
  </si>
  <si>
    <t>2.5. Product fees</t>
  </si>
  <si>
    <t>2.6. Lender valuation</t>
  </si>
  <si>
    <t>2.7. Lender Solicitor Fees</t>
  </si>
  <si>
    <t>2.9. Exit fees</t>
  </si>
  <si>
    <t>2.8. Drawdown &amp; Transfer fees</t>
  </si>
  <si>
    <t>Key Metrics</t>
  </si>
  <si>
    <t>Lender fees</t>
  </si>
  <si>
    <t>of which equity required to cover working capital</t>
  </si>
  <si>
    <t>Average rental cashflow pre debt (Year 1)</t>
  </si>
  <si>
    <t>Average rental cashflow post debt (Refinanced)</t>
  </si>
  <si>
    <t>Principal Repayment</t>
  </si>
  <si>
    <t>INSTRUCTIONS</t>
  </si>
  <si>
    <t>Please populate all fields in this colour, all of the other fields will automatically populate.</t>
  </si>
  <si>
    <t>The tab "Investment Model (Notes)" has plenty notes</t>
  </si>
  <si>
    <t>Any cell showing a small red flag has a note with further guidance - just hover over it</t>
  </si>
  <si>
    <t>To copy the tab to use it for multiple properties, right click the tab and select "Move or  Copy" and ensure you tick the "Create a copy" box</t>
  </si>
  <si>
    <t>$</t>
  </si>
  <si>
    <t>5.3. Property Management  fee (% Rent after voids)</t>
  </si>
  <si>
    <t>5.3. Property Management fee (% Rent after voids)</t>
  </si>
  <si>
    <t>Property 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</si>
</sst>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&quot;$&quot;#,##0"/>
    <numFmt numFmtId="166" formatCode="[$£]#,##0"/>
    <numFmt numFmtId="167" formatCode="&quot;MONTH &quot;#"/>
    <numFmt numFmtId="168" formatCode="dd\ mmm\ yyyy"/>
    <numFmt numFmtId="169" formatCode="&quot;£&quot;#,##0;[Red]\(&quot;£&quot;#,##0\);\-"/>
    <numFmt numFmtId="170" formatCode="#\ &quot;Months&quot;"/>
    <numFmt numFmtId="171" formatCode="&quot;Year&quot;\ 0"/>
    <numFmt numFmtId="172" formatCode="&quot;Month &quot;#"/>
    <numFmt numFmtId="173" formatCode="0.00%;[Red]\(0.00%\);\-"/>
    <numFmt numFmtId="174" formatCode="0.00%;\(0.00%\);\-"/>
    <numFmt numFmtId="175" formatCode="&quot;Month&quot;\ 0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color rgb="FF000000"/>
      <name val="Avenir Next LT Pro"/>
      <family val="2"/>
    </font>
    <font>
      <sz val="10"/>
      <color rgb="FF000000"/>
      <name val="Avenir Next LT Pro"/>
      <family val="2"/>
    </font>
    <font>
      <i/>
      <sz val="8"/>
      <color rgb="FF000000"/>
      <name val="Avenir Next LT Pro"/>
      <family val="2"/>
    </font>
    <font>
      <b/>
      <sz val="8"/>
      <color rgb="FF000000"/>
      <name val="Avenir Next LT Pro"/>
      <family val="2"/>
    </font>
    <font>
      <sz val="8"/>
      <color theme="1"/>
      <name val="Avenir Next LT Pro"/>
      <family val="2"/>
    </font>
    <font>
      <sz val="14"/>
      <color theme="0"/>
      <name val="Avenir Next LT Pro"/>
      <family val="2"/>
    </font>
    <font>
      <sz val="8"/>
      <color theme="0"/>
      <name val="Avenir Next LT Pro"/>
      <family val="2"/>
    </font>
    <font>
      <sz val="8"/>
      <name val="Avenir Next LT Pro"/>
      <family val="2"/>
    </font>
    <font>
      <sz val="9"/>
      <color indexed="81"/>
      <name val="Tahoma"/>
      <family val="2"/>
    </font>
    <font>
      <sz val="10"/>
      <color theme="0"/>
      <name val="Avenir Next LT Pro"/>
      <family val="2"/>
    </font>
    <font>
      <sz val="10"/>
      <name val="Avenir Next LT Pro"/>
      <family val="2"/>
    </font>
    <font>
      <b/>
      <sz val="8"/>
      <name val="Avenir Next LT Pro"/>
      <family val="2"/>
    </font>
    <font>
      <i/>
      <sz val="8"/>
      <color theme="0" tint="-0.499984740745262"/>
      <name val="Avenir Next LT Pro"/>
      <family val="2"/>
    </font>
    <font>
      <b/>
      <sz val="8"/>
      <color theme="0"/>
      <name val="Avenir Next LT Pro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venir Next LT Pro"/>
      <family val="2"/>
    </font>
    <font>
      <sz val="14"/>
      <color theme="0"/>
      <name val="Avenir Next LT Pro Light"/>
      <family val="2"/>
    </font>
    <font>
      <sz val="8"/>
      <color theme="0"/>
      <name val="Avenir Next LT Pro Light"/>
      <family val="2"/>
    </font>
    <font>
      <sz val="9"/>
      <color rgb="FF000000"/>
      <name val="Avenir Next LT Pro Light"/>
      <family val="2"/>
    </font>
    <font>
      <sz val="8"/>
      <color rgb="FF000000"/>
      <name val="Avenir Next LT Pro Light"/>
      <family val="2"/>
    </font>
    <font>
      <b/>
      <sz val="8"/>
      <color theme="1"/>
      <name val="Avenir Next LT Pro Light"/>
      <family val="2"/>
    </font>
    <font>
      <sz val="8"/>
      <color theme="1"/>
      <name val="Avenir Next LT Pro Light"/>
      <family val="2"/>
    </font>
    <font>
      <sz val="8"/>
      <color indexed="8"/>
      <name val="Avenir Next LT Pro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F00"/>
        <bgColor rgb="FF8CB5F9"/>
      </patternFill>
    </fill>
    <fill>
      <patternFill patternType="solid">
        <fgColor theme="2" tint="-0.24994659260841701"/>
        <bgColor theme="2" tint="-0.24994659260841701"/>
      </patternFill>
    </fill>
    <fill>
      <patternFill patternType="solid">
        <fgColor rgb="FF8DCB13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2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/>
    <xf numFmtId="166" fontId="10" fillId="0" borderId="0" xfId="0" applyNumberFormat="1" applyFont="1"/>
    <xf numFmtId="169" fontId="3" fillId="0" borderId="0" xfId="0" applyNumberFormat="1" applyFont="1"/>
    <xf numFmtId="169" fontId="6" fillId="0" borderId="4" xfId="0" applyNumberFormat="1" applyFont="1" applyBorder="1"/>
    <xf numFmtId="169" fontId="5" fillId="0" borderId="0" xfId="0" applyNumberFormat="1" applyFont="1"/>
    <xf numFmtId="167" fontId="10" fillId="0" borderId="3" xfId="0" applyNumberFormat="1" applyFont="1" applyBorder="1" applyAlignment="1">
      <alignment horizontal="center"/>
    </xf>
    <xf numFmtId="169" fontId="4" fillId="0" borderId="0" xfId="0" applyNumberFormat="1" applyFont="1"/>
    <xf numFmtId="0" fontId="14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10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74" fontId="10" fillId="0" borderId="1" xfId="0" applyNumberFormat="1" applyFont="1" applyBorder="1" applyAlignment="1">
      <alignment horizontal="center"/>
    </xf>
    <xf numFmtId="174" fontId="10" fillId="0" borderId="4" xfId="1" applyNumberFormat="1" applyFont="1" applyBorder="1" applyAlignment="1">
      <alignment horizontal="center"/>
    </xf>
    <xf numFmtId="169" fontId="3" fillId="0" borderId="8" xfId="0" applyNumberFormat="1" applyFont="1" applyBorder="1" applyAlignment="1">
      <alignment horizontal="center"/>
    </xf>
    <xf numFmtId="171" fontId="10" fillId="0" borderId="2" xfId="0" applyNumberFormat="1" applyFont="1" applyBorder="1" applyAlignment="1">
      <alignment horizontal="center"/>
    </xf>
    <xf numFmtId="168" fontId="7" fillId="0" borderId="4" xfId="0" applyNumberFormat="1" applyFont="1" applyBorder="1"/>
    <xf numFmtId="166" fontId="14" fillId="0" borderId="0" xfId="0" applyNumberFormat="1" applyFont="1" applyAlignment="1">
      <alignment wrapText="1"/>
    </xf>
    <xf numFmtId="169" fontId="6" fillId="0" borderId="9" xfId="0" applyNumberFormat="1" applyFont="1" applyBorder="1"/>
    <xf numFmtId="0" fontId="15" fillId="0" borderId="0" xfId="0" applyFont="1"/>
    <xf numFmtId="169" fontId="15" fillId="0" borderId="0" xfId="0" applyNumberFormat="1" applyFont="1"/>
    <xf numFmtId="169" fontId="15" fillId="0" borderId="0" xfId="0" applyNumberFormat="1" applyFont="1" applyAlignment="1">
      <alignment horizontal="right"/>
    </xf>
    <xf numFmtId="0" fontId="3" fillId="0" borderId="9" xfId="0" applyFont="1" applyBorder="1"/>
    <xf numFmtId="0" fontId="4" fillId="0" borderId="5" xfId="0" applyFont="1" applyBorder="1"/>
    <xf numFmtId="0" fontId="4" fillId="0" borderId="1" xfId="0" applyFont="1" applyBorder="1"/>
    <xf numFmtId="0" fontId="13" fillId="0" borderId="0" xfId="0" applyFont="1"/>
    <xf numFmtId="168" fontId="7" fillId="0" borderId="4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169" fontId="6" fillId="0" borderId="9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4" fillId="0" borderId="11" xfId="0" applyFont="1" applyBorder="1"/>
    <xf numFmtId="169" fontId="3" fillId="3" borderId="0" xfId="0" applyNumberFormat="1" applyFont="1" applyFill="1"/>
    <xf numFmtId="0" fontId="3" fillId="3" borderId="0" xfId="0" applyFont="1" applyFill="1"/>
    <xf numFmtId="0" fontId="6" fillId="0" borderId="9" xfId="0" applyFont="1" applyBorder="1"/>
    <xf numFmtId="0" fontId="10" fillId="0" borderId="9" xfId="0" applyFont="1" applyBorder="1" applyAlignment="1">
      <alignment horizontal="center"/>
    </xf>
    <xf numFmtId="166" fontId="10" fillId="0" borderId="9" xfId="0" applyNumberFormat="1" applyFont="1" applyBorder="1"/>
    <xf numFmtId="169" fontId="6" fillId="0" borderId="0" xfId="0" applyNumberFormat="1" applyFont="1"/>
    <xf numFmtId="0" fontId="4" fillId="3" borderId="0" xfId="0" applyFont="1" applyFill="1"/>
    <xf numFmtId="169" fontId="3" fillId="3" borderId="0" xfId="0" applyNumberFormat="1" applyFont="1" applyFill="1" applyAlignment="1">
      <alignment horizontal="center"/>
    </xf>
    <xf numFmtId="0" fontId="18" fillId="0" borderId="0" xfId="0" applyFont="1"/>
    <xf numFmtId="0" fontId="21" fillId="0" borderId="0" xfId="3" applyFont="1"/>
    <xf numFmtId="0" fontId="22" fillId="0" borderId="0" xfId="3" applyFont="1"/>
    <xf numFmtId="10" fontId="10" fillId="2" borderId="0" xfId="4" applyNumberFormat="1" applyFont="1" applyFill="1" applyAlignment="1">
      <alignment horizontal="centerContinuous"/>
    </xf>
    <xf numFmtId="0" fontId="23" fillId="0" borderId="0" xfId="3" applyFont="1"/>
    <xf numFmtId="0" fontId="24" fillId="0" borderId="0" xfId="3" applyFont="1"/>
    <xf numFmtId="0" fontId="24" fillId="0" borderId="0" xfId="3" applyFont="1" applyAlignment="1">
      <alignment wrapText="1"/>
    </xf>
    <xf numFmtId="0" fontId="0" fillId="0" borderId="0" xfId="0" applyAlignment="1">
      <alignment wrapText="1"/>
    </xf>
    <xf numFmtId="0" fontId="8" fillId="4" borderId="0" xfId="0" applyFont="1" applyFill="1"/>
    <xf numFmtId="0" fontId="19" fillId="4" borderId="0" xfId="3" applyFont="1" applyFill="1"/>
    <xf numFmtId="0" fontId="20" fillId="4" borderId="0" xfId="3" applyFont="1" applyFill="1" applyAlignment="1">
      <alignment horizontal="center"/>
    </xf>
    <xf numFmtId="0" fontId="20" fillId="4" borderId="0" xfId="3" applyFont="1" applyFill="1"/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10" fontId="10" fillId="6" borderId="0" xfId="0" applyNumberFormat="1" applyFont="1" applyFill="1" applyAlignment="1">
      <alignment horizontal="centerContinuous"/>
    </xf>
    <xf numFmtId="166" fontId="10" fillId="6" borderId="6" xfId="0" applyNumberFormat="1" applyFont="1" applyFill="1" applyBorder="1" applyAlignment="1">
      <alignment horizontal="center"/>
    </xf>
    <xf numFmtId="166" fontId="10" fillId="6" borderId="1" xfId="0" applyNumberFormat="1" applyFont="1" applyFill="1" applyBorder="1" applyAlignment="1">
      <alignment horizontal="center"/>
    </xf>
    <xf numFmtId="0" fontId="4" fillId="6" borderId="0" xfId="0" applyFont="1" applyFill="1"/>
    <xf numFmtId="166" fontId="10" fillId="6" borderId="2" xfId="0" applyNumberFormat="1" applyFont="1" applyFill="1" applyBorder="1" applyAlignment="1">
      <alignment horizontal="center"/>
    </xf>
    <xf numFmtId="168" fontId="10" fillId="6" borderId="2" xfId="0" applyNumberFormat="1" applyFont="1" applyFill="1" applyBorder="1"/>
    <xf numFmtId="169" fontId="3" fillId="6" borderId="8" xfId="0" applyNumberFormat="1" applyFont="1" applyFill="1" applyBorder="1" applyAlignment="1">
      <alignment horizontal="center"/>
    </xf>
    <xf numFmtId="174" fontId="10" fillId="6" borderId="5" xfId="0" applyNumberFormat="1" applyFont="1" applyFill="1" applyBorder="1" applyAlignment="1">
      <alignment horizontal="center"/>
    </xf>
    <xf numFmtId="174" fontId="10" fillId="6" borderId="4" xfId="0" applyNumberFormat="1" applyFont="1" applyFill="1" applyBorder="1" applyAlignment="1">
      <alignment horizontal="center"/>
    </xf>
    <xf numFmtId="0" fontId="3" fillId="6" borderId="4" xfId="0" applyFont="1" applyFill="1" applyBorder="1"/>
    <xf numFmtId="0" fontId="3" fillId="6" borderId="3" xfId="0" applyFont="1" applyFill="1" applyBorder="1"/>
    <xf numFmtId="170" fontId="10" fillId="6" borderId="3" xfId="0" applyNumberFormat="1" applyFont="1" applyFill="1" applyBorder="1" applyAlignment="1">
      <alignment horizontal="center"/>
    </xf>
    <xf numFmtId="174" fontId="10" fillId="6" borderId="3" xfId="0" applyNumberFormat="1" applyFont="1" applyFill="1" applyBorder="1" applyAlignment="1">
      <alignment horizontal="center"/>
    </xf>
    <xf numFmtId="0" fontId="9" fillId="7" borderId="0" xfId="0" applyFont="1" applyFill="1"/>
    <xf numFmtId="169" fontId="9" fillId="7" borderId="0" xfId="0" applyNumberFormat="1" applyFont="1" applyFill="1" applyAlignment="1">
      <alignment horizontal="center"/>
    </xf>
    <xf numFmtId="169" fontId="3" fillId="6" borderId="0" xfId="0" applyNumberFormat="1" applyFont="1" applyFill="1"/>
    <xf numFmtId="0" fontId="3" fillId="6" borderId="0" xfId="0" applyFont="1" applyFill="1"/>
    <xf numFmtId="0" fontId="14" fillId="8" borderId="0" xfId="0" applyFont="1" applyFill="1"/>
    <xf numFmtId="169" fontId="6" fillId="8" borderId="0" xfId="0" applyNumberFormat="1" applyFont="1" applyFill="1" applyAlignment="1">
      <alignment horizontal="center"/>
    </xf>
    <xf numFmtId="0" fontId="10" fillId="8" borderId="0" xfId="0" applyFont="1" applyFill="1"/>
    <xf numFmtId="169" fontId="3" fillId="8" borderId="0" xfId="0" applyNumberFormat="1" applyFont="1" applyFill="1" applyAlignment="1">
      <alignment horizontal="center"/>
    </xf>
    <xf numFmtId="169" fontId="25" fillId="8" borderId="0" xfId="0" applyNumberFormat="1" applyFont="1" applyFill="1" applyAlignment="1">
      <alignment horizontal="center"/>
    </xf>
    <xf numFmtId="10" fontId="6" fillId="8" borderId="0" xfId="1" applyNumberFormat="1" applyFont="1" applyFill="1" applyAlignment="1">
      <alignment horizontal="center"/>
    </xf>
    <xf numFmtId="173" fontId="10" fillId="8" borderId="0" xfId="0" applyNumberFormat="1" applyFont="1" applyFill="1"/>
    <xf numFmtId="10" fontId="3" fillId="8" borderId="0" xfId="1" applyNumberFormat="1" applyFont="1" applyFill="1" applyAlignment="1">
      <alignment horizontal="center"/>
    </xf>
    <xf numFmtId="172" fontId="10" fillId="8" borderId="0" xfId="0" applyNumberFormat="1" applyFont="1" applyFill="1"/>
    <xf numFmtId="174" fontId="10" fillId="8" borderId="0" xfId="1" applyNumberFormat="1" applyFont="1" applyFill="1" applyBorder="1" applyAlignment="1">
      <alignment horizontal="center"/>
    </xf>
    <xf numFmtId="173" fontId="14" fillId="8" borderId="0" xfId="1" applyNumberFormat="1" applyFont="1" applyFill="1" applyBorder="1" applyAlignment="1">
      <alignment horizontal="center"/>
    </xf>
    <xf numFmtId="175" fontId="3" fillId="6" borderId="8" xfId="2" applyNumberFormat="1" applyFont="1" applyFill="1" applyBorder="1" applyAlignment="1">
      <alignment horizontal="center"/>
    </xf>
    <xf numFmtId="174" fontId="10" fillId="6" borderId="2" xfId="0" applyNumberFormat="1" applyFont="1" applyFill="1" applyBorder="1" applyAlignment="1">
      <alignment horizontal="center"/>
    </xf>
    <xf numFmtId="173" fontId="9" fillId="7" borderId="0" xfId="1" applyNumberFormat="1" applyFont="1" applyFill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1" fontId="3" fillId="6" borderId="8" xfId="2" applyNumberFormat="1" applyFont="1" applyFill="1" applyBorder="1" applyAlignment="1">
      <alignment horizontal="center"/>
    </xf>
    <xf numFmtId="174" fontId="10" fillId="6" borderId="8" xfId="0" applyNumberFormat="1" applyFont="1" applyFill="1" applyBorder="1" applyAlignment="1">
      <alignment horizontal="center"/>
    </xf>
    <xf numFmtId="172" fontId="10" fillId="6" borderId="5" xfId="0" applyNumberFormat="1" applyFont="1" applyFill="1" applyBorder="1" applyAlignment="1">
      <alignment horizontal="center"/>
    </xf>
    <xf numFmtId="171" fontId="9" fillId="7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12" fillId="7" borderId="10" xfId="0" applyFont="1" applyFill="1" applyBorder="1" applyAlignment="1">
      <alignment horizontal="center"/>
    </xf>
    <xf numFmtId="169" fontId="16" fillId="7" borderId="4" xfId="0" applyNumberFormat="1" applyFont="1" applyFill="1" applyBorder="1"/>
    <xf numFmtId="169" fontId="16" fillId="7" borderId="4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4" fillId="9" borderId="0" xfId="0" applyFont="1" applyFill="1"/>
    <xf numFmtId="169" fontId="6" fillId="9" borderId="0" xfId="0" applyNumberFormat="1" applyFont="1" applyFill="1" applyAlignment="1">
      <alignment horizontal="center"/>
    </xf>
    <xf numFmtId="0" fontId="10" fillId="9" borderId="0" xfId="0" applyFont="1" applyFill="1"/>
    <xf numFmtId="172" fontId="10" fillId="9" borderId="0" xfId="0" applyNumberFormat="1" applyFont="1" applyFill="1"/>
    <xf numFmtId="174" fontId="10" fillId="9" borderId="0" xfId="1" applyNumberFormat="1" applyFont="1" applyFill="1" applyBorder="1" applyAlignment="1">
      <alignment horizontal="center"/>
    </xf>
    <xf numFmtId="169" fontId="3" fillId="9" borderId="0" xfId="0" applyNumberFormat="1" applyFont="1" applyFill="1" applyAlignment="1">
      <alignment horizontal="center"/>
    </xf>
    <xf numFmtId="10" fontId="6" fillId="9" borderId="0" xfId="1" applyNumberFormat="1" applyFont="1" applyFill="1" applyAlignment="1">
      <alignment horizontal="center"/>
    </xf>
    <xf numFmtId="173" fontId="10" fillId="9" borderId="0" xfId="0" applyNumberFormat="1" applyFont="1" applyFill="1"/>
    <xf numFmtId="10" fontId="3" fillId="9" borderId="0" xfId="1" applyNumberFormat="1" applyFont="1" applyFill="1" applyAlignment="1">
      <alignment horizontal="center"/>
    </xf>
    <xf numFmtId="173" fontId="14" fillId="9" borderId="0" xfId="1" applyNumberFormat="1" applyFont="1" applyFill="1" applyBorder="1" applyAlignment="1">
      <alignment horizontal="center"/>
    </xf>
  </cellXfs>
  <cellStyles count="5">
    <cellStyle name="Comma" xfId="2" builtinId="3"/>
    <cellStyle name="Normal" xfId="0" builtinId="0"/>
    <cellStyle name="Normal 2" xfId="3" xr:uid="{D6A13C2A-6654-4D25-933C-C91ED4E06D19}"/>
    <cellStyle name="Normal 3" xfId="4" xr:uid="{2698E32B-1D25-442A-A211-F8CE54EFD75D}"/>
    <cellStyle name="Percent" xfId="1" builtinId="5"/>
  </cellStyles>
  <dxfs count="42"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  <dxf>
      <numFmt numFmtId="177" formatCode="&quot;£&quot;#,##0;\(&quot;£&quot;#,##0\);\-"/>
    </dxf>
    <dxf>
      <numFmt numFmtId="176" formatCode="\€#,##0;\(\€#,##0\);\-"/>
    </dxf>
    <dxf>
      <numFmt numFmtId="178" formatCode="\$#,##0;\(\$#,##0\);\-"/>
    </dxf>
  </dxfs>
  <tableStyles count="0" defaultTableStyle="TableStyleMedium2" defaultPivotStyle="PivotStyleLight16"/>
  <colors>
    <mruColors>
      <color rgb="FF008F00"/>
      <color rgb="FF8DCB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Next LT Pro Light" panose="020B0304020202020204" pitchFamily="34" charset="0"/>
                <a:ea typeface="+mn-ea"/>
                <a:cs typeface="+mn-cs"/>
              </a:defRPr>
            </a:pPr>
            <a:r>
              <a:rPr lang="en-GB" b="1"/>
              <a:t>Capital</a:t>
            </a:r>
            <a:r>
              <a:rPr lang="en-GB" b="1" baseline="0"/>
              <a:t> Sources &amp; Uses to buy</a:t>
            </a:r>
            <a:endParaRPr lang="en-GB" b="1"/>
          </a:p>
        </c:rich>
      </c:tx>
      <c:layout>
        <c:manualLayout>
          <c:xMode val="edge"/>
          <c:yMode val="edge"/>
          <c:x val="0.35315189711279132"/>
          <c:y val="6.7457252629094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Next LT Pro Light" panose="020B0304020202020204" pitchFamily="34" charset="0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2.2695002706985229E-3"/>
          <c:y val="0.15589585784535553"/>
          <c:w val="0.68222787255515982"/>
          <c:h val="0.65222974575800685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46D-427D-B4B8-92363D0D35A8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27D-B4B8-92363D0D35A8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E-4C3A-A372-53A7DE021186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4E-4C3A-A372-53A7DE021186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4E-4C3A-A372-53A7DE021186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27D-B4B8-92363D0D35A8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4E-4C3A-A372-53A7DE021186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46D-427D-B4B8-92363D0D35A8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27D-B4B8-92363D0D35A8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46D-427D-B4B8-92363D0D35A8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27D-B4B8-92363D0D35A8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46D-427D-B4B8-92363D0D35A8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D-427D-B4B8-92363D0D35A8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6D-427D-B4B8-92363D0D35A8}"/>
              </c:ext>
            </c:extLst>
          </c:dPt>
          <c:dPt>
            <c:idx val="14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74E-4C3A-A372-53A7DE021186}"/>
              </c:ext>
            </c:extLst>
          </c:dPt>
          <c:dLbls>
            <c:dLbl>
              <c:idx val="4"/>
              <c:layout>
                <c:manualLayout>
                  <c:x val="7.8485963604010681E-2"/>
                  <c:y val="-0.10056712843640128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5948662087749"/>
                      <c:h val="5.5813191661550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74E-4C3A-A372-53A7DE021186}"/>
                </c:ext>
              </c:extLst>
            </c:dLbl>
            <c:dLbl>
              <c:idx val="5"/>
              <c:layout>
                <c:manualLayout>
                  <c:x val="7.8485764815699521E-2"/>
                  <c:y val="-4.7793797451069153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5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78006305730669"/>
                      <c:h val="6.86359789986849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6D-427D-B4B8-92363D0D35A8}"/>
                </c:ext>
              </c:extLst>
            </c:dLbl>
            <c:dLbl>
              <c:idx val="6"/>
              <c:layout>
                <c:manualLayout>
                  <c:x val="8.1486176631172594E-2"/>
                  <c:y val="2.3475902542808125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643534966475"/>
                      <c:h val="7.40307293989945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74E-4C3A-A372-53A7DE021186}"/>
                </c:ext>
              </c:extLst>
            </c:dLbl>
            <c:dLbl>
              <c:idx val="7"/>
              <c:layout>
                <c:manualLayout>
                  <c:x val="8.434164906499432E-2"/>
                  <c:y val="8.6541144813039816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1886581727829"/>
                      <c:h val="6.24461655555499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46D-427D-B4B8-92363D0D35A8}"/>
                </c:ext>
              </c:extLst>
            </c:dLbl>
            <c:dLbl>
              <c:idx val="8"/>
              <c:layout>
                <c:manualLayout>
                  <c:x val="8.7006413037018226E-2"/>
                  <c:y val="0.12043915302622073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54293012890347"/>
                      <c:h val="4.47920477888766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46D-427D-B4B8-92363D0D35A8}"/>
                </c:ext>
              </c:extLst>
            </c:dLbl>
            <c:dLbl>
              <c:idx val="9"/>
              <c:layout>
                <c:manualLayout>
                  <c:x val="8.0221319294052157E-2"/>
                  <c:y val="0.17109007097733628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62048923240674"/>
                      <c:h val="9.4201238254872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46D-427D-B4B8-92363D0D35A8}"/>
                </c:ext>
              </c:extLst>
            </c:dLbl>
            <c:dLbl>
              <c:idx val="10"/>
              <c:layout>
                <c:manualLayout>
                  <c:x val="8.8547983794476384E-2"/>
                  <c:y val="0.32735689277657326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99553989101572"/>
                      <c:h val="3.9782893695812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6D-427D-B4B8-92363D0D35A8}"/>
                </c:ext>
              </c:extLst>
            </c:dLbl>
            <c:dLbl>
              <c:idx val="11"/>
              <c:layout>
                <c:manualLayout>
                  <c:x val="8.3806483172467319E-2"/>
                  <c:y val="0.28189021818746801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4285999345439"/>
                      <c:h val="3.06896608510549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46D-427D-B4B8-92363D0D35A8}"/>
                </c:ext>
              </c:extLst>
            </c:dLbl>
            <c:dLbl>
              <c:idx val="12"/>
              <c:layout>
                <c:manualLayout>
                  <c:x val="0.14685954273731019"/>
                  <c:y val="0.23415074575249367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4285999345439"/>
                      <c:h val="4.4329510118190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46D-427D-B4B8-92363D0D35A8}"/>
                </c:ext>
              </c:extLst>
            </c:dLbl>
            <c:dLbl>
              <c:idx val="13"/>
              <c:layout>
                <c:manualLayout>
                  <c:x val="9.3929135495825294E-2"/>
                  <c:y val="0.27802516830424884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44602491720818"/>
                      <c:h val="5.1770658757066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6D-427D-B4B8-92363D0D35A8}"/>
                </c:ext>
              </c:extLst>
            </c:dLbl>
            <c:numFmt formatCode="#,##0;\(#,##0\);\-" sourceLinked="0"/>
            <c:spPr>
              <a:solidFill>
                <a:schemeClr val="lt1"/>
              </a:solidFill>
              <a:ln w="12700" cap="flat" cmpd="sng" algn="ctr">
                <a:noFill/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'Investment Model'!$C$17:$C$30</c:f>
              <c:strCache>
                <c:ptCount val="14"/>
                <c:pt idx="0">
                  <c:v>Financing to purchase</c:v>
                </c:pt>
                <c:pt idx="1">
                  <c:v>Deposit to purchase</c:v>
                </c:pt>
                <c:pt idx="4">
                  <c:v>Property/Land Tax</c:v>
                </c:pt>
                <c:pt idx="5">
                  <c:v>Legal &amp; Search Fees</c:v>
                </c:pt>
                <c:pt idx="6">
                  <c:v>Accountancy / set up Fees</c:v>
                </c:pt>
                <c:pt idx="7">
                  <c:v>Broker Fees</c:v>
                </c:pt>
                <c:pt idx="8">
                  <c:v>Sourcing Fees</c:v>
                </c:pt>
                <c:pt idx="9">
                  <c:v>Appraisal/Survey Fees</c:v>
                </c:pt>
                <c:pt idx="10">
                  <c:v>Other</c:v>
                </c:pt>
                <c:pt idx="11">
                  <c:v> Other</c:v>
                </c:pt>
                <c:pt idx="12">
                  <c:v> Other</c:v>
                </c:pt>
                <c:pt idx="13">
                  <c:v>Lender fees</c:v>
                </c:pt>
              </c:strCache>
            </c:strRef>
          </c:cat>
          <c:val>
            <c:numRef>
              <c:f>'Investment Model'!$D$17:$D$30</c:f>
              <c:numCache>
                <c:formatCode>"£"#,##0;[Red]\("£"#,##0\);\-</c:formatCode>
                <c:ptCount val="14"/>
                <c:pt idx="0">
                  <c:v>160000</c:v>
                </c:pt>
                <c:pt idx="1">
                  <c:v>40000</c:v>
                </c:pt>
                <c:pt idx="4">
                  <c:v>2000</c:v>
                </c:pt>
                <c:pt idx="5">
                  <c:v>1999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D-427D-B4B8-92363D0D35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48"/>
        <c:splitType val="pos"/>
        <c:splitPos val="12"/>
        <c:secondPieSize val="76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 Light" panose="020B03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Next LT Pro Light" panose="020B0304020202020204" pitchFamily="34" charset="0"/>
                <a:ea typeface="+mn-ea"/>
                <a:cs typeface="+mn-cs"/>
              </a:defRPr>
            </a:pPr>
            <a:r>
              <a:rPr lang="en-GB" b="1"/>
              <a:t>Capital</a:t>
            </a:r>
            <a:r>
              <a:rPr lang="en-GB" b="1" baseline="0"/>
              <a:t> Sources &amp; Uses to buy</a:t>
            </a:r>
            <a:endParaRPr lang="en-GB" b="1"/>
          </a:p>
        </c:rich>
      </c:tx>
      <c:layout>
        <c:manualLayout>
          <c:xMode val="edge"/>
          <c:yMode val="edge"/>
          <c:x val="0.35315189711279132"/>
          <c:y val="6.7457252629094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Next LT Pro Light" panose="020B0304020202020204" pitchFamily="34" charset="0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2.2695002706985229E-3"/>
          <c:y val="0.15589585784535553"/>
          <c:w val="0.68222787255515982"/>
          <c:h val="0.65222974575800685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8-4809-B561-9F39B958A6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8-4809-B561-9F39B958A677}"/>
              </c:ext>
            </c:extLst>
          </c:dPt>
          <c:dPt>
            <c:idx val="2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8-4809-B561-9F39B958A677}"/>
              </c:ext>
            </c:extLst>
          </c:dPt>
          <c:dPt>
            <c:idx val="3"/>
            <c:bubble3D val="0"/>
            <c:spPr>
              <a:solidFill>
                <a:schemeClr val="accent1">
                  <a:shade val="6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8-4809-B561-9F39B958A677}"/>
              </c:ext>
            </c:extLst>
          </c:dPt>
          <c:dPt>
            <c:idx val="4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38-4809-B561-9F39B958A677}"/>
              </c:ext>
            </c:extLst>
          </c:dPt>
          <c:dPt>
            <c:idx val="5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E38-4809-B561-9F39B958A677}"/>
              </c:ext>
            </c:extLst>
          </c:dPt>
          <c:dPt>
            <c:idx val="6"/>
            <c:bubble3D val="0"/>
            <c:spPr>
              <a:solidFill>
                <a:schemeClr val="accent1">
                  <a:shade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E38-4809-B561-9F39B958A677}"/>
              </c:ext>
            </c:extLst>
          </c:dPt>
          <c:dPt>
            <c:idx val="7"/>
            <c:bubble3D val="0"/>
            <c:spPr>
              <a:solidFill>
                <a:schemeClr val="accent1">
                  <a:tint val="9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38-4809-B561-9F39B958A677}"/>
              </c:ext>
            </c:extLst>
          </c:dPt>
          <c:dPt>
            <c:idx val="8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38-4809-B561-9F39B958A677}"/>
              </c:ext>
            </c:extLst>
          </c:dPt>
          <c:dPt>
            <c:idx val="9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38-4809-B561-9F39B958A677}"/>
              </c:ext>
            </c:extLst>
          </c:dPt>
          <c:dPt>
            <c:idx val="10"/>
            <c:bubble3D val="0"/>
            <c:spPr>
              <a:solidFill>
                <a:schemeClr val="accent1">
                  <a:tint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E38-4809-B561-9F39B958A677}"/>
              </c:ext>
            </c:extLst>
          </c:dPt>
          <c:dPt>
            <c:idx val="11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E38-4809-B561-9F39B958A677}"/>
              </c:ext>
            </c:extLst>
          </c:dPt>
          <c:dPt>
            <c:idx val="12"/>
            <c:bubble3D val="0"/>
            <c:spPr>
              <a:solidFill>
                <a:schemeClr val="accent1">
                  <a:tint val="4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E38-4809-B561-9F39B958A677}"/>
              </c:ext>
            </c:extLst>
          </c:dPt>
          <c:dPt>
            <c:idx val="13"/>
            <c:bubble3D val="0"/>
            <c:spPr>
              <a:solidFill>
                <a:schemeClr val="accent1">
                  <a:tint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E38-4809-B561-9F39B958A677}"/>
              </c:ext>
            </c:extLst>
          </c:dPt>
          <c:dPt>
            <c:idx val="14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E38-4809-B561-9F39B958A677}"/>
              </c:ext>
            </c:extLst>
          </c:dPt>
          <c:dLbls>
            <c:dLbl>
              <c:idx val="4"/>
              <c:layout>
                <c:manualLayout>
                  <c:x val="7.8485963604010681E-2"/>
                  <c:y val="-0.10056712843640128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5948662087749"/>
                      <c:h val="5.5813191661550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E38-4809-B561-9F39B958A677}"/>
                </c:ext>
              </c:extLst>
            </c:dLbl>
            <c:dLbl>
              <c:idx val="5"/>
              <c:layout>
                <c:manualLayout>
                  <c:x val="7.8485764815699521E-2"/>
                  <c:y val="-4.7793797451069153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5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78006305730669"/>
                      <c:h val="6.86359789986849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E38-4809-B561-9F39B958A677}"/>
                </c:ext>
              </c:extLst>
            </c:dLbl>
            <c:dLbl>
              <c:idx val="6"/>
              <c:layout>
                <c:manualLayout>
                  <c:x val="8.1486176631172594E-2"/>
                  <c:y val="2.3475902542808125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643534966475"/>
                      <c:h val="7.40307293989945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E38-4809-B561-9F39B958A677}"/>
                </c:ext>
              </c:extLst>
            </c:dLbl>
            <c:dLbl>
              <c:idx val="7"/>
              <c:layout>
                <c:manualLayout>
                  <c:x val="8.434164906499432E-2"/>
                  <c:y val="8.6541144813039816E-2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1886581727829"/>
                      <c:h val="6.24461655555499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E38-4809-B561-9F39B958A677}"/>
                </c:ext>
              </c:extLst>
            </c:dLbl>
            <c:dLbl>
              <c:idx val="8"/>
              <c:layout>
                <c:manualLayout>
                  <c:x val="8.7006413037018226E-2"/>
                  <c:y val="0.12043915302622073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54293012890347"/>
                      <c:h val="4.47920477888766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E38-4809-B561-9F39B958A677}"/>
                </c:ext>
              </c:extLst>
            </c:dLbl>
            <c:dLbl>
              <c:idx val="9"/>
              <c:layout>
                <c:manualLayout>
                  <c:x val="8.0221319294052157E-2"/>
                  <c:y val="0.17109007097733628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62048923240674"/>
                      <c:h val="9.4201238254872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E38-4809-B561-9F39B958A677}"/>
                </c:ext>
              </c:extLst>
            </c:dLbl>
            <c:dLbl>
              <c:idx val="10"/>
              <c:layout>
                <c:manualLayout>
                  <c:x val="8.8547983794476384E-2"/>
                  <c:y val="0.32735689277657326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99553989101572"/>
                      <c:h val="3.97828936958120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E38-4809-B561-9F39B958A677}"/>
                </c:ext>
              </c:extLst>
            </c:dLbl>
            <c:dLbl>
              <c:idx val="11"/>
              <c:layout>
                <c:manualLayout>
                  <c:x val="8.3806483172467319E-2"/>
                  <c:y val="0.28189021818746801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4285999345439"/>
                      <c:h val="3.06896608510549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E38-4809-B561-9F39B958A677}"/>
                </c:ext>
              </c:extLst>
            </c:dLbl>
            <c:dLbl>
              <c:idx val="12"/>
              <c:layout>
                <c:manualLayout>
                  <c:x val="0.14685954273731019"/>
                  <c:y val="0.23415074575249367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4285999345439"/>
                      <c:h val="4.4329510118190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1E38-4809-B561-9F39B958A677}"/>
                </c:ext>
              </c:extLst>
            </c:dLbl>
            <c:dLbl>
              <c:idx val="13"/>
              <c:layout>
                <c:manualLayout>
                  <c:x val="9.3929135495825294E-2"/>
                  <c:y val="0.27802516830424884"/>
                </c:manualLayout>
              </c:layout>
              <c:numFmt formatCode="#,##0;\(#,##0\);\-" sourceLinked="0"/>
              <c:spPr>
                <a:solidFill>
                  <a:schemeClr val="lt1"/>
                </a:solidFill>
                <a:ln w="12700" cap="flat" cmpd="sng" algn="ctr">
                  <a:noFill/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44602491720818"/>
                      <c:h val="5.1770658757066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1E38-4809-B561-9F39B958A677}"/>
                </c:ext>
              </c:extLst>
            </c:dLbl>
            <c:numFmt formatCode="#,##0;\(#,##0\);\-" sourceLinked="0"/>
            <c:spPr>
              <a:solidFill>
                <a:schemeClr val="lt1"/>
              </a:solidFill>
              <a:ln w="12700" cap="flat" cmpd="sng" algn="ctr">
                <a:noFill/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'Investment Model (Notes)'!$C$18:$C$31</c:f>
              <c:strCache>
                <c:ptCount val="14"/>
                <c:pt idx="0">
                  <c:v>Financing to purchase</c:v>
                </c:pt>
                <c:pt idx="1">
                  <c:v>Deposit to purchase</c:v>
                </c:pt>
                <c:pt idx="4">
                  <c:v>Property/Land Tax</c:v>
                </c:pt>
                <c:pt idx="5">
                  <c:v>Legal &amp; Search Fees</c:v>
                </c:pt>
                <c:pt idx="6">
                  <c:v>Accountancy / set up Fees</c:v>
                </c:pt>
                <c:pt idx="7">
                  <c:v>Broker Fees</c:v>
                </c:pt>
                <c:pt idx="8">
                  <c:v>Sourcing Fees</c:v>
                </c:pt>
                <c:pt idx="9">
                  <c:v>Appraisal/Survey Fees</c:v>
                </c:pt>
                <c:pt idx="10">
                  <c:v>Other</c:v>
                </c:pt>
                <c:pt idx="11">
                  <c:v> Other</c:v>
                </c:pt>
                <c:pt idx="12">
                  <c:v> Other</c:v>
                </c:pt>
                <c:pt idx="13">
                  <c:v>Lender fees</c:v>
                </c:pt>
              </c:strCache>
            </c:strRef>
          </c:cat>
          <c:val>
            <c:numRef>
              <c:f>'Investment Model (Notes)'!$D$18:$D$31</c:f>
              <c:numCache>
                <c:formatCode>"£"#,##0;[Red]\("£"#,##0\);\-</c:formatCode>
                <c:ptCount val="14"/>
                <c:pt idx="0">
                  <c:v>52500</c:v>
                </c:pt>
                <c:pt idx="1">
                  <c:v>17500</c:v>
                </c:pt>
                <c:pt idx="4">
                  <c:v>0</c:v>
                </c:pt>
                <c:pt idx="5">
                  <c:v>300</c:v>
                </c:pt>
                <c:pt idx="6">
                  <c:v>100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E38-4809-B561-9F39B958A6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48"/>
        <c:splitType val="pos"/>
        <c:splitPos val="12"/>
        <c:secondPieSize val="76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venir Next LT Pro Light" panose="020B03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title pos="t" align="ctr" overlay="0">
      <cx:tx>
        <cx:txData>
          <cx:v>Year 1 Cashflows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venir Next LT Pro" panose="020B0504020202020204" pitchFamily="34" charset="0"/>
              <a:ea typeface="Avenir Next LT Pro" panose="020B0504020202020204" pitchFamily="34" charset="0"/>
              <a:cs typeface="Avenir Next LT Pro" panose="020B0504020202020204" pitchFamily="34" charset="0"/>
            </a:defRPr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venir Next LT Pro" panose="020B0504020202020204" pitchFamily="34" charset="0"/>
              <a:cs typeface="Arial"/>
            </a:rPr>
            <a:t>Year 1 Cashflows</a:t>
          </a:r>
        </a:p>
      </cx:txPr>
    </cx:title>
    <cx:plotArea>
      <cx:plotAreaRegion>
        <cx:series layoutId="waterfall" uniqueId="{3D26EE4E-7218-4811-B71E-07C3C9ACFE3C}">
          <cx:dataLabels pos="outEnd">
            <cx:numFmt formatCode="#,##0;(#,##0);-" sourceLinked="0"/>
            <cx:spPr>
              <a:solidFill>
                <a:schemeClr val="bg1"/>
              </a:solidFill>
              <a:ln>
                <a:solidFill>
                  <a:schemeClr val="bg1">
                    <a:lumMod val="95000"/>
                  </a:schemeClr>
                </a:solidFill>
              </a:ln>
            </cx:spPr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595959"/>
                    </a:solidFill>
                    <a:latin typeface="Avenir Next LT Pro" panose="020B0504020202020204" pitchFamily="34" charset="0"/>
                    <a:ea typeface="Avenir Next LT Pro" panose="020B0504020202020204" pitchFamily="34" charset="0"/>
                    <a:cs typeface="Avenir Next LT Pro" panose="020B0504020202020204" pitchFamily="34" charset="0"/>
                  </a:defRPr>
                </a:pPr>
                <a:endParaRPr lang="en-GB">
                  <a:latin typeface="Avenir Next LT Pro" panose="020B0504020202020204" pitchFamily="34" charset="0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1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700" b="0" i="0">
                <a:solidFill>
                  <a:srgbClr val="595959"/>
                </a:solidFill>
                <a:latin typeface="Avenir Next LT Pro" panose="020B0504020202020204" pitchFamily="34" charset="0"/>
                <a:ea typeface="Avenir Next LT Pro" panose="020B0504020202020204" pitchFamily="34" charset="0"/>
                <a:cs typeface="Avenir Next LT Pro" panose="020B0504020202020204" pitchFamily="34" charset="0"/>
              </a:defRPr>
            </a:pPr>
            <a:endParaRPr lang="en-GB" sz="700">
              <a:latin typeface="Avenir Next LT Pro" panose="020B0504020202020204" pitchFamily="34" charset="0"/>
            </a:endParaRPr>
          </a:p>
        </cx:txPr>
      </cx:axis>
      <cx:axis id="1">
        <cx:valScaling/>
        <cx:majorGridlines/>
        <cx:tickLabels/>
        <cx:numFmt formatCode="#,##0;(#,##0);-" sourceLinked="0"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venir Next LT Pro" panose="020B0504020202020204" pitchFamily="34" charset="0"/>
                <a:ea typeface="Avenir Next LT Pro" panose="020B0504020202020204" pitchFamily="34" charset="0"/>
                <a:cs typeface="Avenir Next LT Pro" panose="020B0504020202020204" pitchFamily="34" charset="0"/>
              </a:defRPr>
            </a:pPr>
            <a:endParaRPr lang="en-GB">
              <a:latin typeface="Avenir Next LT Pro" panose="020B0504020202020204" pitchFamily="34" charset="0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venir Next LT Pro" panose="020B0504020202020204" pitchFamily="34" charset="0"/>
              <a:ea typeface="Avenir Next LT Pro" panose="020B0504020202020204" pitchFamily="34" charset="0"/>
              <a:cs typeface="Avenir Next LT Pro" panose="020B0504020202020204" pitchFamily="34" charset="0"/>
            </a:defRPr>
          </a:pPr>
          <a:endParaRPr lang="en-US" sz="900" b="0" i="0" u="none" strike="noStrike" baseline="0">
            <a:solidFill>
              <a:srgbClr val="000000">
                <a:lumMod val="65000"/>
                <a:lumOff val="35000"/>
              </a:srgbClr>
            </a:solidFill>
            <a:latin typeface="Avenir Next LT Pro" panose="020B0504020202020204" pitchFamily="34" charset="0"/>
            <a:cs typeface="Arial"/>
          </a:endParaRPr>
        </a:p>
      </cx:txPr>
    </cx:legend>
  </cx:chart>
  <cx:spPr>
    <a:ln w="6350">
      <a:noFill/>
    </a:ln>
  </cx:spPr>
  <cx:fmtOvrs>
    <cx:fmtOvr idx="0">
      <cx:spPr>
        <a:solidFill>
          <a:schemeClr val="accent6">
            <a:lumMod val="40000"/>
            <a:lumOff val="60000"/>
          </a:schemeClr>
        </a:solidFill>
      </cx:spPr>
    </cx:fmtOvr>
    <cx:fmtOvr idx="1">
      <cx:spPr>
        <a:solidFill>
          <a:schemeClr val="accent6">
            <a:lumMod val="75000"/>
          </a:schemeClr>
        </a:solidFill>
      </cx:spPr>
    </cx:fmtOvr>
    <cx:fmtOvr idx="2">
      <cx:spPr>
        <a:solidFill>
          <a:schemeClr val="accent4">
            <a:lumMod val="20000"/>
            <a:lumOff val="80000"/>
          </a:schemeClr>
        </a:solidFill>
      </cx:spPr>
    </cx:fmtOvr>
  </cx:fmtOvr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_xlchart.v5.6</cx:f>
      </cx:strDim>
      <cx:numDim type="val">
        <cx:f>_xlchart.v5.7</cx:f>
      </cx:numDim>
    </cx:data>
  </cx:chartData>
  <cx:chart>
    <cx:title pos="t" align="ctr" overlay="0">
      <cx:tx>
        <cx:txData>
          <cx:v>Year 1 Cashflows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venir Next LT Pro" panose="020B0504020202020204" pitchFamily="34" charset="0"/>
              <a:ea typeface="Avenir Next LT Pro" panose="020B0504020202020204" pitchFamily="34" charset="0"/>
              <a:cs typeface="Avenir Next LT Pro" panose="020B0504020202020204" pitchFamily="34" charset="0"/>
            </a:defRPr>
          </a:pPr>
          <a:r>
            <a:rPr lang="en-US" sz="1400" b="0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Avenir Next LT Pro" panose="020B0504020202020204" pitchFamily="34" charset="0"/>
              <a:cs typeface="Arial"/>
            </a:rPr>
            <a:t>Year 1 Cashflows</a:t>
          </a:r>
        </a:p>
      </cx:txPr>
    </cx:title>
    <cx:plotArea>
      <cx:plotAreaRegion>
        <cx:series layoutId="waterfall" uniqueId="{3D26EE4E-7218-4811-B71E-07C3C9ACFE3C}">
          <cx:dataLabels pos="outEnd">
            <cx:numFmt formatCode="#,##0;(#,##0);-" sourceLinked="0"/>
            <cx:spPr>
              <a:solidFill>
                <a:schemeClr val="bg1"/>
              </a:solidFill>
              <a:ln>
                <a:solidFill>
                  <a:schemeClr val="bg1">
                    <a:lumMod val="95000"/>
                  </a:schemeClr>
                </a:solidFill>
              </a:ln>
            </cx:spPr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rgbClr val="595959"/>
                    </a:solidFill>
                    <a:latin typeface="Avenir Next LT Pro" panose="020B0504020202020204" pitchFamily="34" charset="0"/>
                    <a:ea typeface="Avenir Next LT Pro" panose="020B0504020202020204" pitchFamily="34" charset="0"/>
                    <a:cs typeface="Avenir Next LT Pro" panose="020B0504020202020204" pitchFamily="34" charset="0"/>
                  </a:defRPr>
                </a:pPr>
                <a:endParaRPr lang="en-GB">
                  <a:latin typeface="Avenir Next LT Pro" panose="020B0504020202020204" pitchFamily="34" charset="0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13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700" b="0" i="0">
                <a:solidFill>
                  <a:srgbClr val="595959"/>
                </a:solidFill>
                <a:latin typeface="Avenir Next LT Pro" panose="020B0504020202020204" pitchFamily="34" charset="0"/>
                <a:ea typeface="Avenir Next LT Pro" panose="020B0504020202020204" pitchFamily="34" charset="0"/>
                <a:cs typeface="Avenir Next LT Pro" panose="020B0504020202020204" pitchFamily="34" charset="0"/>
              </a:defRPr>
            </a:pPr>
            <a:endParaRPr lang="en-GB" sz="700">
              <a:latin typeface="Avenir Next LT Pro" panose="020B0504020202020204" pitchFamily="34" charset="0"/>
            </a:endParaRPr>
          </a:p>
        </cx:txPr>
      </cx:axis>
      <cx:axis id="1">
        <cx:valScaling/>
        <cx:majorGridlines/>
        <cx:tickLabels/>
        <cx:numFmt formatCode="#,##0;(#,##0);-" sourceLinked="0"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Avenir Next LT Pro" panose="020B0504020202020204" pitchFamily="34" charset="0"/>
                <a:ea typeface="Avenir Next LT Pro" panose="020B0504020202020204" pitchFamily="34" charset="0"/>
                <a:cs typeface="Avenir Next LT Pro" panose="020B0504020202020204" pitchFamily="34" charset="0"/>
              </a:defRPr>
            </a:pPr>
            <a:endParaRPr lang="en-GB">
              <a:latin typeface="Avenir Next LT Pro" panose="020B0504020202020204" pitchFamily="34" charset="0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Avenir Next LT Pro" panose="020B0504020202020204" pitchFamily="34" charset="0"/>
              <a:ea typeface="Avenir Next LT Pro" panose="020B0504020202020204" pitchFamily="34" charset="0"/>
              <a:cs typeface="Avenir Next LT Pro" panose="020B0504020202020204" pitchFamily="34" charset="0"/>
            </a:defRPr>
          </a:pPr>
          <a:endParaRPr lang="en-US" sz="900" b="0" i="0" u="none" strike="noStrike" baseline="0">
            <a:solidFill>
              <a:srgbClr val="000000">
                <a:lumMod val="65000"/>
                <a:lumOff val="35000"/>
              </a:srgbClr>
            </a:solidFill>
            <a:latin typeface="Avenir Next LT Pro" panose="020B0504020202020204" pitchFamily="34" charset="0"/>
            <a:cs typeface="Arial"/>
          </a:endParaRPr>
        </a:p>
      </cx:txPr>
    </cx:legend>
  </cx:chart>
  <cx:spPr>
    <a:ln w="6350">
      <a:noFill/>
    </a:ln>
  </cx:spPr>
  <cx:fmtOvrs>
    <cx:fmtOvr idx="0">
      <cx:spPr>
        <a:solidFill>
          <a:schemeClr val="accent6">
            <a:lumMod val="40000"/>
            <a:lumOff val="60000"/>
          </a:schemeClr>
        </a:solidFill>
      </cx:spPr>
    </cx:fmtOvr>
    <cx:fmtOvr idx="1">
      <cx:spPr>
        <a:solidFill>
          <a:schemeClr val="accent6">
            <a:lumMod val="75000"/>
          </a:schemeClr>
        </a:solidFill>
      </cx:spPr>
    </cx:fmtOvr>
    <cx:fmtOvr idx="2">
      <cx:spPr>
        <a:solidFill>
          <a:schemeClr val="accent4">
            <a:lumMod val="20000"/>
            <a:lumOff val="80000"/>
          </a:schemeClr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22</xdr:row>
      <xdr:rowOff>9525</xdr:rowOff>
    </xdr:from>
    <xdr:to>
      <xdr:col>3</xdr:col>
      <xdr:colOff>388113</xdr:colOff>
      <xdr:row>36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DB40A9-8695-E754-5E78-912F180BF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38275"/>
          <a:ext cx="1477138" cy="19335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23</xdr:row>
      <xdr:rowOff>93934</xdr:rowOff>
    </xdr:from>
    <xdr:to>
      <xdr:col>7</xdr:col>
      <xdr:colOff>246091</xdr:colOff>
      <xdr:row>36</xdr:row>
      <xdr:rowOff>114299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17793E-1F6E-A535-A2E6-9B3BCD7EA1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8215"/>
        <a:stretch/>
      </xdr:blipFill>
      <xdr:spPr>
        <a:xfrm>
          <a:off x="1933575" y="1656034"/>
          <a:ext cx="2017741" cy="1753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103116</xdr:colOff>
      <xdr:row>15</xdr:row>
      <xdr:rowOff>82336</xdr:rowOff>
    </xdr:from>
    <xdr:to>
      <xdr:col>6</xdr:col>
      <xdr:colOff>63826</xdr:colOff>
      <xdr:row>32</xdr:row>
      <xdr:rowOff>144878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3C14E1-29B6-8A8E-3B97-4CB1CD3EE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365266</xdr:colOff>
      <xdr:row>9</xdr:row>
      <xdr:rowOff>130544</xdr:rowOff>
    </xdr:from>
    <xdr:to>
      <xdr:col>21</xdr:col>
      <xdr:colOff>83895</xdr:colOff>
      <xdr:row>35</xdr:row>
      <xdr:rowOff>56029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1600255F-77DC-3691-55CC-21FED9E567B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39466" y="524244"/>
              <a:ext cx="7440229" cy="43450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177622</xdr:colOff>
      <xdr:row>0</xdr:row>
      <xdr:rowOff>0</xdr:rowOff>
    </xdr:from>
    <xdr:to>
      <xdr:col>2</xdr:col>
      <xdr:colOff>355245</xdr:colOff>
      <xdr:row>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F127D5-809D-C99B-C707-C89AC363B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22" y="0"/>
          <a:ext cx="1181189" cy="1181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4979</xdr:colOff>
      <xdr:row>16</xdr:row>
      <xdr:rowOff>59245</xdr:rowOff>
    </xdr:from>
    <xdr:to>
      <xdr:col>5</xdr:col>
      <xdr:colOff>721916</xdr:colOff>
      <xdr:row>33</xdr:row>
      <xdr:rowOff>121787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EDCE0B-ADEE-41C4-AB68-6BE896A51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365266</xdr:colOff>
      <xdr:row>10</xdr:row>
      <xdr:rowOff>130544</xdr:rowOff>
    </xdr:from>
    <xdr:to>
      <xdr:col>21</xdr:col>
      <xdr:colOff>83895</xdr:colOff>
      <xdr:row>36</xdr:row>
      <xdr:rowOff>56029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20DC06EF-C273-45E9-BD0C-7C70B02A6A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39466" y="524244"/>
              <a:ext cx="7440229" cy="43450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679899</xdr:colOff>
      <xdr:row>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010A7A-2FBB-2C49-996A-6D54FD832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96" y="0"/>
          <a:ext cx="1500909" cy="150090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avvy Colours">
      <a:dk1>
        <a:srgbClr val="000000"/>
      </a:dk1>
      <a:lt1>
        <a:srgbClr val="FFFFFF"/>
      </a:lt1>
      <a:dk2>
        <a:srgbClr val="008F51"/>
      </a:dk2>
      <a:lt2>
        <a:srgbClr val="15BE17"/>
      </a:lt2>
      <a:accent1>
        <a:srgbClr val="80B606"/>
      </a:accent1>
      <a:accent2>
        <a:srgbClr val="E29F1D"/>
      </a:accent2>
      <a:accent3>
        <a:srgbClr val="2397E2"/>
      </a:accent3>
      <a:accent4>
        <a:srgbClr val="35ACA2"/>
      </a:accent4>
      <a:accent5>
        <a:srgbClr val="5430BB"/>
      </a:accent5>
      <a:accent6>
        <a:srgbClr val="8D34E0"/>
      </a:accent6>
      <a:hlink>
        <a:srgbClr val="00B0F0"/>
      </a:hlink>
      <a:folHlink>
        <a:srgbClr val="0070C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78D2-FF23-4B48-B773-CD2D56C3C811}">
  <dimension ref="A1:R40"/>
  <sheetViews>
    <sheetView showGridLines="0" zoomScale="136" workbookViewId="0">
      <selection sqref="A1:D12"/>
    </sheetView>
  </sheetViews>
  <sheetFormatPr baseColWidth="10" defaultColWidth="8.6640625" defaultRowHeight="10" x14ac:dyDescent="0.15"/>
  <cols>
    <col min="1" max="1" width="2.6640625" style="61" customWidth="1"/>
    <col min="2" max="2" width="8.6640625" style="61"/>
    <col min="3" max="3" width="7.6640625" style="61" customWidth="1"/>
    <col min="4" max="4" width="8.6640625" style="61" customWidth="1"/>
    <col min="5" max="5" width="6.1640625" style="61" customWidth="1"/>
    <col min="6" max="6" width="11.33203125" style="61" customWidth="1"/>
    <col min="7" max="7" width="7.83203125" style="61" customWidth="1"/>
    <col min="8" max="16384" width="8.6640625" style="61"/>
  </cols>
  <sheetData>
    <row r="1" spans="1:18" x14ac:dyDescent="0.15">
      <c r="A1" s="62" t="e" vm="1">
        <v>#VALUE!</v>
      </c>
      <c r="B1" s="63"/>
      <c r="C1" s="63"/>
      <c r="D1" s="63"/>
    </row>
    <row r="2" spans="1:18" x14ac:dyDescent="0.15">
      <c r="A2" s="63"/>
      <c r="B2" s="63"/>
      <c r="C2" s="63"/>
      <c r="D2" s="63"/>
    </row>
    <row r="3" spans="1:18" x14ac:dyDescent="0.15">
      <c r="A3" s="63"/>
      <c r="B3" s="63"/>
      <c r="C3" s="63"/>
      <c r="D3" s="63"/>
    </row>
    <row r="4" spans="1:18" x14ac:dyDescent="0.15">
      <c r="A4" s="63"/>
      <c r="B4" s="63"/>
      <c r="C4" s="63"/>
      <c r="D4" s="63"/>
    </row>
    <row r="5" spans="1:18" x14ac:dyDescent="0.15">
      <c r="A5" s="63"/>
      <c r="B5" s="63"/>
      <c r="C5" s="63"/>
      <c r="D5" s="63"/>
    </row>
    <row r="6" spans="1:18" x14ac:dyDescent="0.15">
      <c r="A6" s="63"/>
      <c r="B6" s="63"/>
      <c r="C6" s="63"/>
      <c r="D6" s="63"/>
    </row>
    <row r="7" spans="1:18" x14ac:dyDescent="0.15">
      <c r="A7" s="63"/>
      <c r="B7" s="63"/>
      <c r="C7" s="63"/>
      <c r="D7" s="63"/>
    </row>
    <row r="8" spans="1:18" x14ac:dyDescent="0.15">
      <c r="A8" s="63"/>
      <c r="B8" s="63"/>
      <c r="C8" s="63"/>
      <c r="D8" s="63"/>
    </row>
    <row r="9" spans="1:18" x14ac:dyDescent="0.15">
      <c r="A9" s="63"/>
      <c r="B9" s="63"/>
      <c r="C9" s="63"/>
      <c r="D9" s="63"/>
    </row>
    <row r="10" spans="1:18" x14ac:dyDescent="0.15">
      <c r="A10" s="63"/>
      <c r="B10" s="63"/>
      <c r="C10" s="63"/>
      <c r="D10" s="63"/>
    </row>
    <row r="11" spans="1:18" x14ac:dyDescent="0.15">
      <c r="A11" s="63"/>
      <c r="B11" s="63"/>
      <c r="C11" s="63"/>
      <c r="D11" s="63"/>
    </row>
    <row r="12" spans="1:18" x14ac:dyDescent="0.15">
      <c r="A12" s="63"/>
      <c r="B12" s="63"/>
      <c r="C12" s="63"/>
      <c r="D12" s="63"/>
    </row>
    <row r="14" spans="1:18" s="57" customFormat="1" ht="18" x14ac:dyDescent="0.25">
      <c r="B14" s="64" t="s">
        <v>133</v>
      </c>
      <c r="C14" s="65"/>
      <c r="D14" s="65"/>
      <c r="E14" s="65"/>
      <c r="F14" s="65"/>
      <c r="G14" s="65"/>
      <c r="H14" s="66"/>
      <c r="I14" s="66"/>
      <c r="J14" s="66"/>
      <c r="K14" s="66"/>
      <c r="L14" s="67"/>
      <c r="M14" s="67"/>
      <c r="N14" s="67"/>
      <c r="O14" s="67"/>
      <c r="P14" s="67"/>
      <c r="Q14" s="67"/>
      <c r="R14" s="67"/>
    </row>
    <row r="15" spans="1:18" s="58" customFormat="1" x14ac:dyDescent="0.15"/>
    <row r="16" spans="1:18" s="58" customFormat="1" x14ac:dyDescent="0.15">
      <c r="B16" s="58" t="s">
        <v>134</v>
      </c>
      <c r="J16" s="59"/>
    </row>
    <row r="17" spans="2:10" s="58" customFormat="1" x14ac:dyDescent="0.15"/>
    <row r="18" spans="2:10" s="58" customFormat="1" x14ac:dyDescent="0.15">
      <c r="B18" s="58" t="s">
        <v>135</v>
      </c>
    </row>
    <row r="19" spans="2:10" s="58" customFormat="1" x14ac:dyDescent="0.15">
      <c r="B19" s="58" t="s">
        <v>136</v>
      </c>
      <c r="J19" s="59"/>
    </row>
    <row r="20" spans="2:10" s="58" customFormat="1" x14ac:dyDescent="0.15"/>
    <row r="21" spans="2:10" x14ac:dyDescent="0.15">
      <c r="B21" s="61" t="s">
        <v>137</v>
      </c>
    </row>
    <row r="40" spans="2:4" x14ac:dyDescent="0.15">
      <c r="B40" s="60"/>
      <c r="C40" s="60"/>
      <c r="D40" s="60"/>
    </row>
  </sheetData>
  <mergeCells count="1">
    <mergeCell ref="A1:D1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4683-E288-4D8B-A145-9556F3C9E5D0}">
  <sheetPr>
    <outlinePr summaryBelow="0" summaryRight="0"/>
    <pageSetUpPr fitToPage="1"/>
  </sheetPr>
  <dimension ref="A1:BX111"/>
  <sheetViews>
    <sheetView showGridLines="0" tabSelected="1" zoomScale="128" zoomScaleNormal="128" zoomScaleSheetLayoutView="88" workbookViewId="0">
      <selection activeCell="N47" sqref="N47"/>
    </sheetView>
  </sheetViews>
  <sheetFormatPr baseColWidth="10" defaultColWidth="12.6640625" defaultRowHeight="13" x14ac:dyDescent="0.2"/>
  <cols>
    <col min="1" max="1" width="2.33203125" style="3" customWidth="1"/>
    <col min="2" max="10" width="10.83203125" style="3" customWidth="1"/>
    <col min="11" max="11" width="13.6640625" style="3" customWidth="1"/>
    <col min="12" max="16" width="10.83203125" style="3" customWidth="1"/>
    <col min="17" max="17" width="14.6640625" style="3" customWidth="1"/>
    <col min="18" max="65" width="10.83203125" style="3" customWidth="1"/>
    <col min="66" max="16384" width="12.6640625" style="3"/>
  </cols>
  <sheetData>
    <row r="1" spans="1:31" ht="13" customHeight="1" x14ac:dyDescent="0.2"/>
    <row r="2" spans="1:31" ht="13" customHeight="1" x14ac:dyDescent="0.2"/>
    <row r="3" spans="1:31" ht="13" customHeight="1" x14ac:dyDescent="0.2"/>
    <row r="4" spans="1:31" ht="13" customHeight="1" x14ac:dyDescent="0.2"/>
    <row r="5" spans="1:31" ht="13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3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3" customHeight="1" x14ac:dyDescent="0.2">
      <c r="A7" s="1"/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3" customHeight="1" x14ac:dyDescent="0.2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8" x14ac:dyDescent="0.25">
      <c r="A9" s="1"/>
      <c r="B9" s="68" t="str">
        <f>"BRRR- Property Investment Model - "&amp;F13</f>
        <v>BRRR- Property Investment Model - Property Name</v>
      </c>
      <c r="C9" s="68"/>
      <c r="D9" s="68"/>
      <c r="E9" s="6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3" customHeight="1" x14ac:dyDescent="0.2">
      <c r="A10" s="1"/>
      <c r="B10" s="1"/>
      <c r="C10" s="1"/>
      <c r="D10" s="1"/>
      <c r="E10" s="2"/>
      <c r="F10" s="1"/>
      <c r="G10" s="1"/>
      <c r="M10" s="1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3" customHeight="1" x14ac:dyDescent="0.2">
      <c r="A11" s="1"/>
      <c r="B11" s="71" t="s">
        <v>23</v>
      </c>
      <c r="C11" s="71"/>
      <c r="D11" s="71"/>
      <c r="E11" s="71"/>
      <c r="F11" s="71"/>
      <c r="G11" s="1"/>
      <c r="H11" s="56" t="s">
        <v>127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3" customHeight="1" x14ac:dyDescent="0.2">
      <c r="A12" s="1"/>
      <c r="G12" s="1"/>
      <c r="H12" s="3" t="s">
        <v>110</v>
      </c>
      <c r="U12" s="1"/>
      <c r="AA12" s="1"/>
      <c r="AB12" s="1"/>
      <c r="AC12" s="1"/>
      <c r="AD12" s="1"/>
      <c r="AE12" s="1"/>
    </row>
    <row r="13" spans="1:31" x14ac:dyDescent="0.2">
      <c r="A13" s="1"/>
      <c r="B13" s="1" t="s">
        <v>0</v>
      </c>
      <c r="C13" s="1"/>
      <c r="D13" s="1"/>
      <c r="E13" s="72"/>
      <c r="F13" s="73" t="s">
        <v>22</v>
      </c>
      <c r="H13" s="88" t="s">
        <v>101</v>
      </c>
      <c r="I13" s="88"/>
      <c r="J13" s="88"/>
      <c r="K13" s="88"/>
      <c r="L13" s="89">
        <f>SUM(L14:L16)</f>
        <v>43999</v>
      </c>
      <c r="U13" s="1"/>
      <c r="AA13" s="1"/>
      <c r="AB13" s="1"/>
      <c r="AC13" s="1"/>
      <c r="AD13" s="1"/>
      <c r="AE13" s="1"/>
    </row>
    <row r="14" spans="1:31" x14ac:dyDescent="0.2">
      <c r="A14" s="1"/>
      <c r="B14" s="1" t="s">
        <v>32</v>
      </c>
      <c r="E14" s="74"/>
      <c r="F14" s="75" t="s">
        <v>138</v>
      </c>
      <c r="H14" s="90" t="s">
        <v>103</v>
      </c>
      <c r="I14" s="90"/>
      <c r="J14" s="90"/>
      <c r="K14" s="90"/>
      <c r="L14" s="91">
        <f>F58</f>
        <v>43999</v>
      </c>
      <c r="M14" s="8"/>
      <c r="AA14" s="1"/>
      <c r="AB14" s="1"/>
      <c r="AC14" s="1"/>
      <c r="AD14" s="1"/>
      <c r="AE14" s="1"/>
    </row>
    <row r="15" spans="1:31" x14ac:dyDescent="0.2">
      <c r="A15" s="1"/>
      <c r="B15" s="1" t="s">
        <v>42</v>
      </c>
      <c r="E15" s="74"/>
      <c r="F15" s="76">
        <v>45138</v>
      </c>
      <c r="H15" s="90" t="s">
        <v>102</v>
      </c>
      <c r="I15" s="90"/>
      <c r="J15" s="90"/>
      <c r="K15" s="90"/>
      <c r="L15" s="91">
        <f>F70</f>
        <v>0</v>
      </c>
      <c r="AA15" s="1"/>
      <c r="AB15" s="1"/>
      <c r="AC15" s="1"/>
      <c r="AD15" s="1"/>
      <c r="AE15" s="1"/>
    </row>
    <row r="16" spans="1:31" x14ac:dyDescent="0.2">
      <c r="A16" s="1"/>
      <c r="G16" s="1"/>
      <c r="H16" s="90" t="s">
        <v>129</v>
      </c>
      <c r="I16" s="90"/>
      <c r="J16" s="90"/>
      <c r="K16" s="90"/>
      <c r="L16" s="91">
        <f>IFERROR(-MIN($E$108:$BM$1134)-SUM(L14:L15),0)</f>
        <v>0</v>
      </c>
      <c r="M16" s="10"/>
      <c r="T16" s="16" t="str">
        <f>N40</f>
        <v>Purchase</v>
      </c>
      <c r="U16" s="16">
        <f>P40</f>
        <v>-200000</v>
      </c>
      <c r="W16" s="16"/>
      <c r="AA16" s="1"/>
      <c r="AB16" s="1"/>
      <c r="AC16" s="1"/>
      <c r="AD16" s="1"/>
      <c r="AE16" s="1"/>
    </row>
    <row r="17" spans="1:31" x14ac:dyDescent="0.2">
      <c r="A17" s="1"/>
      <c r="C17" s="33" t="s">
        <v>111</v>
      </c>
      <c r="D17" s="35">
        <f>F49</f>
        <v>160000</v>
      </c>
      <c r="G17" s="1"/>
      <c r="L17" s="22"/>
      <c r="M17" s="10"/>
      <c r="T17" s="16" t="str">
        <f>N41</f>
        <v>Property/Land Tax</v>
      </c>
      <c r="U17" s="16">
        <f>P41</f>
        <v>-2000</v>
      </c>
      <c r="W17" s="16"/>
      <c r="AA17" s="1"/>
      <c r="AB17" s="1"/>
      <c r="AC17" s="1"/>
      <c r="AD17" s="1"/>
      <c r="AE17" s="1"/>
    </row>
    <row r="18" spans="1:31" x14ac:dyDescent="0.2">
      <c r="A18" s="1"/>
      <c r="C18" s="33" t="s">
        <v>112</v>
      </c>
      <c r="D18" s="35">
        <f>F37</f>
        <v>40000</v>
      </c>
      <c r="G18" s="1"/>
      <c r="H18" s="3" t="s">
        <v>48</v>
      </c>
      <c r="L18" s="22"/>
      <c r="M18" s="10"/>
      <c r="T18" s="3" t="s">
        <v>114</v>
      </c>
      <c r="U18" s="16">
        <f>SUM(P43:P44)</f>
        <v>-1999</v>
      </c>
      <c r="W18" s="16"/>
      <c r="AA18" s="1"/>
      <c r="AB18" s="1"/>
      <c r="AC18" s="1"/>
      <c r="AD18" s="1"/>
      <c r="AE18" s="1"/>
    </row>
    <row r="19" spans="1:31" x14ac:dyDescent="0.2">
      <c r="A19" s="1"/>
      <c r="G19" s="1"/>
      <c r="H19" s="90" t="str">
        <f>H49</f>
        <v>Average cashflow pre debt (Year 1)</v>
      </c>
      <c r="I19" s="90"/>
      <c r="J19" s="90"/>
      <c r="K19" s="90"/>
      <c r="L19" s="92">
        <f>L49</f>
        <v>0</v>
      </c>
      <c r="M19" s="8"/>
      <c r="T19" s="3" t="s">
        <v>113</v>
      </c>
      <c r="U19" s="16">
        <f>F49</f>
        <v>160000</v>
      </c>
      <c r="W19" s="16"/>
      <c r="AA19" s="1"/>
      <c r="AB19" s="1"/>
      <c r="AC19" s="1"/>
      <c r="AD19" s="1"/>
      <c r="AE19" s="1"/>
    </row>
    <row r="20" spans="1:31" x14ac:dyDescent="0.2">
      <c r="A20" s="1"/>
      <c r="G20" s="1"/>
      <c r="H20" s="88" t="str">
        <f>H54</f>
        <v>Gross Yield</v>
      </c>
      <c r="I20" s="88"/>
      <c r="J20" s="88"/>
      <c r="K20" s="88"/>
      <c r="L20" s="93">
        <f>L54</f>
        <v>0</v>
      </c>
      <c r="M20" s="10"/>
      <c r="T20" s="3" t="s">
        <v>116</v>
      </c>
      <c r="U20" s="16">
        <f>SUM(P59:P60)</f>
        <v>0</v>
      </c>
      <c r="W20" s="16"/>
      <c r="AA20" s="1"/>
      <c r="AB20" s="1"/>
      <c r="AC20" s="1"/>
      <c r="AD20" s="1"/>
      <c r="AE20" s="1"/>
    </row>
    <row r="21" spans="1:31" x14ac:dyDescent="0.2">
      <c r="A21" s="1"/>
      <c r="C21" s="34" t="str">
        <f t="shared" ref="C21:C29" si="0">RIGHT(B38,LEN(B38)-5)</f>
        <v>Property/Land Tax</v>
      </c>
      <c r="D21" s="35">
        <f t="shared" ref="D21:D29" si="1">F38</f>
        <v>2000</v>
      </c>
      <c r="G21" s="1"/>
      <c r="H21" s="90" t="str">
        <f>H55</f>
        <v>Average cashflow post debt (Refinanced)</v>
      </c>
      <c r="I21" s="90"/>
      <c r="J21" s="90"/>
      <c r="K21" s="90"/>
      <c r="L21" s="91">
        <f>L55</f>
        <v>0</v>
      </c>
      <c r="M21" s="8"/>
      <c r="T21" s="16" t="str">
        <f>N42</f>
        <v>Refurbishment costs</v>
      </c>
      <c r="U21" s="16">
        <f>P42</f>
        <v>0</v>
      </c>
      <c r="W21" s="16"/>
      <c r="AC21" s="1"/>
      <c r="AD21" s="1"/>
      <c r="AE21" s="1"/>
    </row>
    <row r="22" spans="1:31" x14ac:dyDescent="0.2">
      <c r="A22" s="1"/>
      <c r="C22" s="34" t="str">
        <f t="shared" si="0"/>
        <v>Legal &amp; Search Fees</v>
      </c>
      <c r="D22" s="35">
        <f t="shared" si="1"/>
        <v>1999</v>
      </c>
      <c r="G22" s="1"/>
      <c r="H22" s="94" t="str">
        <f>H56</f>
        <v>Net Yield</v>
      </c>
      <c r="I22" s="90"/>
      <c r="J22" s="90"/>
      <c r="K22" s="90"/>
      <c r="L22" s="95">
        <f>L56</f>
        <v>0</v>
      </c>
      <c r="M22" s="8"/>
      <c r="T22" s="16" t="s">
        <v>115</v>
      </c>
      <c r="U22" s="16">
        <f>F66</f>
        <v>0</v>
      </c>
      <c r="W22" s="16"/>
      <c r="AC22" s="1"/>
      <c r="AD22" s="1"/>
      <c r="AE22" s="1"/>
    </row>
    <row r="23" spans="1:31" x14ac:dyDescent="0.2">
      <c r="A23" s="1"/>
      <c r="C23" s="34" t="str">
        <f t="shared" si="0"/>
        <v>Accountancy / set up Fees</v>
      </c>
      <c r="D23" s="35">
        <f t="shared" si="1"/>
        <v>0</v>
      </c>
      <c r="G23" s="1"/>
      <c r="L23" s="22"/>
      <c r="M23" s="10"/>
      <c r="T23" s="3" t="str">
        <f>T20</f>
        <v>Lender fees &amp; Interest</v>
      </c>
      <c r="U23" s="16">
        <f>SUM(P63:P64)</f>
        <v>0</v>
      </c>
      <c r="V23" s="1"/>
      <c r="W23" s="16"/>
      <c r="AC23" s="1"/>
      <c r="AD23" s="1"/>
      <c r="AE23" s="1"/>
    </row>
    <row r="24" spans="1:31" x14ac:dyDescent="0.2">
      <c r="A24" s="1"/>
      <c r="C24" s="34" t="str">
        <f t="shared" si="0"/>
        <v>Broker Fees</v>
      </c>
      <c r="D24" s="35">
        <f t="shared" si="1"/>
        <v>0</v>
      </c>
      <c r="G24" s="1"/>
      <c r="H24" s="3" t="s">
        <v>49</v>
      </c>
      <c r="I24" s="1"/>
      <c r="J24" s="1"/>
      <c r="K24" s="1"/>
      <c r="L24" s="2"/>
      <c r="M24" s="10"/>
      <c r="T24" s="16" t="str">
        <f>N45</f>
        <v>Rent</v>
      </c>
      <c r="U24" s="16">
        <f>P45</f>
        <v>0</v>
      </c>
      <c r="V24" s="1"/>
      <c r="W24" s="16"/>
      <c r="AC24" s="1"/>
      <c r="AD24" s="1"/>
      <c r="AE24" s="1"/>
    </row>
    <row r="25" spans="1:31" x14ac:dyDescent="0.2">
      <c r="A25" s="1"/>
      <c r="C25" s="34" t="str">
        <f t="shared" si="0"/>
        <v>Sourcing Fees</v>
      </c>
      <c r="D25" s="35">
        <f t="shared" si="1"/>
        <v>0</v>
      </c>
      <c r="G25" s="1"/>
      <c r="H25" s="88" t="s">
        <v>104</v>
      </c>
      <c r="I25" s="88"/>
      <c r="J25" s="88"/>
      <c r="K25" s="88"/>
      <c r="L25" s="89">
        <f>L61-L62-F66-F49</f>
        <v>-160000</v>
      </c>
      <c r="M25" s="10"/>
      <c r="T25" s="3" t="s">
        <v>120</v>
      </c>
      <c r="U25" s="16">
        <f>SUM(P46:P54)</f>
        <v>0</v>
      </c>
      <c r="V25" s="1"/>
      <c r="W25" s="16"/>
      <c r="AC25" s="1"/>
      <c r="AD25" s="1"/>
      <c r="AE25" s="1"/>
    </row>
    <row r="26" spans="1:31" x14ac:dyDescent="0.2">
      <c r="A26" s="1"/>
      <c r="C26" s="34" t="str">
        <f t="shared" si="0"/>
        <v>Appraisal/Survey Fees</v>
      </c>
      <c r="D26" s="35">
        <f t="shared" si="1"/>
        <v>0</v>
      </c>
      <c r="G26" s="1"/>
      <c r="H26" s="90" t="s">
        <v>30</v>
      </c>
      <c r="I26" s="96"/>
      <c r="J26" s="96"/>
      <c r="K26" s="96"/>
      <c r="L26" s="97">
        <f>IFERROR(L25/L13-1,0)</f>
        <v>-4.6364462828700654</v>
      </c>
      <c r="M26" s="10"/>
      <c r="T26" s="3" t="s">
        <v>117</v>
      </c>
      <c r="U26" s="16">
        <f>P66</f>
        <v>0</v>
      </c>
      <c r="V26" s="1"/>
      <c r="W26" s="16"/>
      <c r="AC26" s="1"/>
      <c r="AD26" s="1"/>
      <c r="AE26" s="1"/>
    </row>
    <row r="27" spans="1:31" x14ac:dyDescent="0.2">
      <c r="A27" s="1"/>
      <c r="C27" s="34" t="str">
        <f t="shared" si="0"/>
        <v>Other</v>
      </c>
      <c r="D27" s="35">
        <f t="shared" si="1"/>
        <v>0</v>
      </c>
      <c r="G27" s="1"/>
      <c r="H27" s="90" t="s">
        <v>105</v>
      </c>
      <c r="I27" s="96"/>
      <c r="J27" s="96"/>
      <c r="K27" s="96"/>
      <c r="L27" s="91">
        <f>L25-L13</f>
        <v>-203999</v>
      </c>
      <c r="M27" s="10"/>
      <c r="T27" s="16" t="s">
        <v>118</v>
      </c>
      <c r="U27" s="16">
        <f>SUM(P67:P68)</f>
        <v>0</v>
      </c>
      <c r="V27" s="1"/>
      <c r="W27" s="16"/>
      <c r="AC27" s="1"/>
      <c r="AD27" s="1"/>
      <c r="AE27" s="1"/>
    </row>
    <row r="28" spans="1:31" x14ac:dyDescent="0.2">
      <c r="A28" s="1"/>
      <c r="C28" s="34" t="str">
        <f t="shared" si="0"/>
        <v xml:space="preserve"> Other</v>
      </c>
      <c r="D28" s="35">
        <f t="shared" si="1"/>
        <v>0</v>
      </c>
      <c r="G28" s="1"/>
      <c r="H28" s="17"/>
      <c r="I28" s="1"/>
      <c r="J28" s="1"/>
      <c r="K28" s="1"/>
      <c r="L28" s="2"/>
      <c r="M28" s="10"/>
      <c r="T28" s="16" t="s">
        <v>17</v>
      </c>
      <c r="U28" s="16">
        <f>SUM(P61,P65)</f>
        <v>0</v>
      </c>
      <c r="V28" s="1"/>
      <c r="W28" s="16"/>
      <c r="AC28" s="1"/>
      <c r="AD28" s="1"/>
      <c r="AE28" s="1"/>
    </row>
    <row r="29" spans="1:31" x14ac:dyDescent="0.2">
      <c r="A29" s="1"/>
      <c r="C29" s="34" t="str">
        <f t="shared" si="0"/>
        <v xml:space="preserve"> Other</v>
      </c>
      <c r="D29" s="35">
        <f t="shared" si="1"/>
        <v>0</v>
      </c>
      <c r="G29" s="1"/>
      <c r="H29" s="3" t="s">
        <v>109</v>
      </c>
      <c r="I29" s="1"/>
      <c r="J29" s="1"/>
      <c r="K29" s="1"/>
      <c r="L29" s="2"/>
      <c r="M29" s="10"/>
      <c r="T29" s="16" t="s">
        <v>119</v>
      </c>
      <c r="U29" s="16">
        <f>SUM(U16:U28)</f>
        <v>-43999</v>
      </c>
      <c r="V29" s="1"/>
      <c r="W29" s="16"/>
      <c r="AC29" s="1"/>
      <c r="AD29" s="1"/>
      <c r="AE29" s="1"/>
    </row>
    <row r="30" spans="1:31" x14ac:dyDescent="0.2">
      <c r="A30" s="1"/>
      <c r="C30" s="34" t="s">
        <v>128</v>
      </c>
      <c r="D30" s="35">
        <f>SUM(F52:F56)</f>
        <v>0</v>
      </c>
      <c r="G30" s="1"/>
      <c r="H30" s="90" t="s">
        <v>106</v>
      </c>
      <c r="I30" s="90"/>
      <c r="J30" s="90"/>
      <c r="K30" s="90"/>
      <c r="L30" s="89">
        <f>SUM($E$107:$BM$107)</f>
        <v>-43999</v>
      </c>
      <c r="M30" s="10"/>
      <c r="T30" s="16"/>
      <c r="U30" s="16"/>
      <c r="V30" s="1"/>
      <c r="W30" s="16"/>
      <c r="AC30" s="1"/>
      <c r="AD30" s="1"/>
      <c r="AE30" s="1"/>
    </row>
    <row r="31" spans="1:31" x14ac:dyDescent="0.2">
      <c r="A31" s="1"/>
      <c r="G31" s="1"/>
      <c r="H31" s="90" t="s">
        <v>30</v>
      </c>
      <c r="I31" s="96"/>
      <c r="J31" s="96"/>
      <c r="K31" s="96"/>
      <c r="L31" s="98">
        <f>IFERROR(L30/L13,0)</f>
        <v>-1</v>
      </c>
      <c r="M31" s="10"/>
      <c r="U31" s="16"/>
      <c r="V31" s="1"/>
      <c r="W31" s="16"/>
      <c r="AC31" s="1"/>
      <c r="AD31" s="1"/>
      <c r="AE31" s="1"/>
    </row>
    <row r="32" spans="1:31" x14ac:dyDescent="0.2">
      <c r="A32" s="1"/>
      <c r="G32" s="1"/>
      <c r="M32" s="10"/>
      <c r="U32" s="16"/>
      <c r="V32" s="1"/>
      <c r="W32" s="16"/>
      <c r="AC32" s="1"/>
      <c r="AD32" s="1"/>
      <c r="AE32" s="1"/>
    </row>
    <row r="33" spans="1:31" x14ac:dyDescent="0.2">
      <c r="A33" s="1"/>
      <c r="G33" s="10"/>
      <c r="H33" s="16"/>
      <c r="I33" s="16"/>
      <c r="J33" s="16"/>
      <c r="K33" s="16"/>
      <c r="M33" s="16"/>
      <c r="N33" s="16"/>
      <c r="O33" s="16"/>
      <c r="P33" s="1"/>
      <c r="Q33" s="16"/>
      <c r="AC33" s="1"/>
      <c r="AD33" s="1"/>
      <c r="AE33" s="1"/>
    </row>
    <row r="34" spans="1:31" x14ac:dyDescent="0.2">
      <c r="A34" s="1"/>
      <c r="B34" s="3" t="s">
        <v>46</v>
      </c>
      <c r="G34" s="10"/>
      <c r="H34" s="3" t="s">
        <v>48</v>
      </c>
      <c r="M34" s="16"/>
      <c r="N34" s="16"/>
      <c r="O34" s="16"/>
      <c r="P34" s="1"/>
      <c r="Q34" s="16"/>
      <c r="AC34" s="1"/>
      <c r="AD34" s="1"/>
      <c r="AE34" s="1"/>
    </row>
    <row r="35" spans="1:31" ht="23" x14ac:dyDescent="0.2">
      <c r="A35" s="1"/>
      <c r="B35" s="4" t="s">
        <v>52</v>
      </c>
      <c r="C35" s="4"/>
      <c r="D35" s="4"/>
      <c r="E35" s="24" t="s">
        <v>36</v>
      </c>
      <c r="F35" s="25" t="str">
        <f>"Amount ("&amp;F14&amp;")"</f>
        <v>Amount ($)</v>
      </c>
      <c r="G35" s="10"/>
      <c r="H35" s="50" t="s">
        <v>57</v>
      </c>
      <c r="I35" s="51"/>
      <c r="J35" s="52"/>
      <c r="K35" s="31" t="str">
        <f>F14&amp;" Per month/
% of Rent"</f>
        <v>$ Per month/
% of Rent</v>
      </c>
      <c r="L35" s="25" t="str">
        <f>F14&amp;" Per annum"</f>
        <v>$ Per annum</v>
      </c>
      <c r="M35" s="16"/>
      <c r="N35" s="16"/>
      <c r="O35" s="16"/>
      <c r="P35" s="1"/>
      <c r="Q35" s="16"/>
      <c r="AC35" s="1"/>
      <c r="AD35" s="1"/>
      <c r="AE35" s="1"/>
    </row>
    <row r="36" spans="1:31" x14ac:dyDescent="0.2">
      <c r="A36" s="1"/>
      <c r="B36" s="20" t="s">
        <v>37</v>
      </c>
      <c r="C36" s="20"/>
      <c r="D36" s="20"/>
      <c r="E36" s="21"/>
      <c r="F36" s="77">
        <v>200000</v>
      </c>
      <c r="G36" s="8"/>
      <c r="H36" s="7" t="s">
        <v>96</v>
      </c>
      <c r="I36" s="7"/>
      <c r="J36" s="7"/>
      <c r="K36" s="23"/>
      <c r="L36" s="99">
        <v>0</v>
      </c>
      <c r="M36" s="16"/>
      <c r="N36" s="16"/>
      <c r="O36" s="16"/>
      <c r="P36" s="1"/>
      <c r="Q36" s="16"/>
      <c r="AC36" s="1"/>
      <c r="AD36" s="1"/>
      <c r="AE36" s="1"/>
    </row>
    <row r="37" spans="1:31" x14ac:dyDescent="0.2">
      <c r="A37" s="1"/>
      <c r="B37" s="20" t="s">
        <v>1</v>
      </c>
      <c r="C37" s="20"/>
      <c r="D37" s="5"/>
      <c r="E37" s="78">
        <v>0.2</v>
      </c>
      <c r="F37" s="28">
        <f>F$36*E37</f>
        <v>40000</v>
      </c>
      <c r="H37" s="20" t="s">
        <v>58</v>
      </c>
      <c r="I37" s="20"/>
      <c r="J37" s="5"/>
      <c r="K37" s="77">
        <v>0</v>
      </c>
      <c r="L37" s="28">
        <f>K37*12</f>
        <v>0</v>
      </c>
      <c r="M37" s="16"/>
      <c r="N37" s="17" t="s">
        <v>107</v>
      </c>
      <c r="O37" s="39"/>
      <c r="P37" s="39"/>
      <c r="Q37" s="39"/>
      <c r="R37" s="39"/>
      <c r="S37" s="39"/>
      <c r="T37" s="8"/>
      <c r="U37" s="8"/>
      <c r="AC37" s="1"/>
      <c r="AD37" s="1"/>
      <c r="AE37" s="1"/>
    </row>
    <row r="38" spans="1:31" x14ac:dyDescent="0.2">
      <c r="A38" s="1"/>
      <c r="B38" s="7" t="s">
        <v>35</v>
      </c>
      <c r="C38" s="7"/>
      <c r="D38" s="6"/>
      <c r="E38" s="27">
        <f>IFERROR(F38/$F$36,0)</f>
        <v>0.01</v>
      </c>
      <c r="F38" s="77">
        <v>2000</v>
      </c>
      <c r="H38" s="7" t="s">
        <v>59</v>
      </c>
      <c r="I38" s="7"/>
      <c r="J38" s="6"/>
      <c r="K38" s="79">
        <v>0</v>
      </c>
      <c r="L38" s="28">
        <f>K38*L37</f>
        <v>0</v>
      </c>
      <c r="M38" s="16"/>
      <c r="N38" s="84" t="s">
        <v>28</v>
      </c>
      <c r="O38" s="84"/>
      <c r="P38" s="107">
        <v>1</v>
      </c>
      <c r="Q38" s="107">
        <f>P38+1</f>
        <v>2</v>
      </c>
      <c r="R38" s="107">
        <f>Q38+1</f>
        <v>3</v>
      </c>
      <c r="S38" s="107">
        <f>R38+1</f>
        <v>4</v>
      </c>
      <c r="T38" s="107">
        <v>5</v>
      </c>
      <c r="U38" s="108" t="s">
        <v>41</v>
      </c>
      <c r="AC38" s="1"/>
      <c r="AD38" s="1"/>
      <c r="AE38" s="1"/>
    </row>
    <row r="39" spans="1:31" x14ac:dyDescent="0.2">
      <c r="A39" s="1"/>
      <c r="B39" s="7" t="s">
        <v>2</v>
      </c>
      <c r="C39" s="7"/>
      <c r="D39" s="6"/>
      <c r="E39" s="27">
        <f>IFERROR(F39/$F$36,0)</f>
        <v>9.9950000000000004E-3</v>
      </c>
      <c r="F39" s="77">
        <v>1999</v>
      </c>
      <c r="H39" s="7" t="s">
        <v>139</v>
      </c>
      <c r="I39" s="7"/>
      <c r="J39" s="6"/>
      <c r="K39" s="79">
        <v>0</v>
      </c>
      <c r="L39" s="28">
        <f>K39*(L37-L38)</f>
        <v>0</v>
      </c>
      <c r="M39" s="16"/>
      <c r="N39" s="7" t="s">
        <v>4</v>
      </c>
      <c r="O39" s="7"/>
      <c r="P39" s="40" t="str">
        <f>TEXT(YEAR($F$15),0)&amp;"/"&amp;TEXT(YEAR($F$15)+1,0)</f>
        <v>2023/2024</v>
      </c>
      <c r="Q39" s="40" t="str">
        <f>TEXT(YEAR($F$15)+2,0)&amp;"/"&amp;TEXT(YEAR($F$15)+3,0)</f>
        <v>2025/2026</v>
      </c>
      <c r="R39" s="40" t="str">
        <f>TEXT(YEAR($F$15)+3,0)&amp;"/"&amp;TEXT(YEAR($F$15)+4,0)</f>
        <v>2026/2027</v>
      </c>
      <c r="S39" s="40" t="str">
        <f>TEXT(YEAR($F$15)+4,0)&amp;"/"&amp;TEXT(YEAR($F$15)+5,0)</f>
        <v>2027/2028</v>
      </c>
      <c r="T39" s="40" t="str">
        <f>TEXT(YEAR($F$15)+5,0)&amp;"/"&amp;TEXT(YEAR($F$15)+6,0)</f>
        <v>2028/2029</v>
      </c>
      <c r="U39" s="109"/>
      <c r="AC39" s="1"/>
      <c r="AD39" s="1"/>
      <c r="AE39" s="1"/>
    </row>
    <row r="40" spans="1:31" x14ac:dyDescent="0.2">
      <c r="A40" s="1"/>
      <c r="B40" s="7" t="s">
        <v>3</v>
      </c>
      <c r="C40" s="7"/>
      <c r="D40" s="6"/>
      <c r="E40" s="27">
        <f>IFERROR(F40/$F$36,0)</f>
        <v>0</v>
      </c>
      <c r="F40" s="77">
        <v>0</v>
      </c>
      <c r="H40" s="7" t="s">
        <v>60</v>
      </c>
      <c r="I40" s="7"/>
      <c r="J40" s="6"/>
      <c r="K40" s="77">
        <v>0</v>
      </c>
      <c r="L40" s="28">
        <f t="shared" ref="L40:L46" si="2">K40*12</f>
        <v>0</v>
      </c>
      <c r="M40" s="16"/>
      <c r="N40" s="12" t="s">
        <v>7</v>
      </c>
      <c r="P40" s="41">
        <f t="shared" ref="P40:T49" si="3">SUMIF($E$74:$BM$74,P$38,$E77:$XEW77)</f>
        <v>-200000</v>
      </c>
      <c r="Q40" s="41">
        <f t="shared" si="3"/>
        <v>0</v>
      </c>
      <c r="R40" s="41">
        <f t="shared" si="3"/>
        <v>0</v>
      </c>
      <c r="S40" s="41">
        <f t="shared" si="3"/>
        <v>0</v>
      </c>
      <c r="T40" s="41">
        <f t="shared" si="3"/>
        <v>0</v>
      </c>
      <c r="U40" s="85">
        <f t="shared" ref="U40:U56" si="4">SUM(P40:T40)</f>
        <v>-200000</v>
      </c>
      <c r="AC40" s="1"/>
      <c r="AD40" s="1"/>
      <c r="AE40" s="1"/>
    </row>
    <row r="41" spans="1:31" x14ac:dyDescent="0.2">
      <c r="A41" s="1"/>
      <c r="B41" s="7" t="s">
        <v>5</v>
      </c>
      <c r="C41" s="7"/>
      <c r="D41" s="6"/>
      <c r="E41" s="79">
        <v>0</v>
      </c>
      <c r="F41" s="28">
        <f>F$36*E41</f>
        <v>0</v>
      </c>
      <c r="H41" s="7" t="s">
        <v>61</v>
      </c>
      <c r="I41" s="7"/>
      <c r="J41" s="6"/>
      <c r="K41" s="77">
        <v>0</v>
      </c>
      <c r="L41" s="28">
        <f t="shared" si="2"/>
        <v>0</v>
      </c>
      <c r="N41" s="12" t="s">
        <v>34</v>
      </c>
      <c r="P41" s="41">
        <f t="shared" si="3"/>
        <v>-2000</v>
      </c>
      <c r="Q41" s="41">
        <f t="shared" si="3"/>
        <v>0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85">
        <f t="shared" si="4"/>
        <v>-2000</v>
      </c>
      <c r="AC41" s="1"/>
      <c r="AD41" s="1"/>
      <c r="AE41" s="1"/>
    </row>
    <row r="42" spans="1:31" x14ac:dyDescent="0.2">
      <c r="A42" s="1"/>
      <c r="B42" s="7" t="s">
        <v>6</v>
      </c>
      <c r="C42" s="7"/>
      <c r="D42" s="6"/>
      <c r="E42" s="79">
        <v>0</v>
      </c>
      <c r="F42" s="28">
        <f>F$36*E42</f>
        <v>0</v>
      </c>
      <c r="H42" s="7" t="s">
        <v>62</v>
      </c>
      <c r="I42" s="7"/>
      <c r="J42" s="6"/>
      <c r="K42" s="77">
        <v>0</v>
      </c>
      <c r="L42" s="28">
        <f t="shared" si="2"/>
        <v>0</v>
      </c>
      <c r="N42" s="12" t="s">
        <v>26</v>
      </c>
      <c r="P42" s="41">
        <f t="shared" si="3"/>
        <v>0</v>
      </c>
      <c r="Q42" s="41">
        <f t="shared" si="3"/>
        <v>0</v>
      </c>
      <c r="R42" s="41">
        <f t="shared" si="3"/>
        <v>0</v>
      </c>
      <c r="S42" s="41">
        <f t="shared" si="3"/>
        <v>0</v>
      </c>
      <c r="T42" s="41">
        <f t="shared" si="3"/>
        <v>0</v>
      </c>
      <c r="U42" s="85">
        <f t="shared" si="4"/>
        <v>0</v>
      </c>
      <c r="AC42" s="1"/>
      <c r="AD42" s="1"/>
      <c r="AE42" s="1"/>
    </row>
    <row r="43" spans="1:31" x14ac:dyDescent="0.2">
      <c r="A43" s="1"/>
      <c r="B43" s="7" t="s">
        <v>33</v>
      </c>
      <c r="C43" s="7"/>
      <c r="D43" s="6"/>
      <c r="E43" s="79">
        <v>0</v>
      </c>
      <c r="F43" s="28">
        <f>F$36*E43</f>
        <v>0</v>
      </c>
      <c r="H43" s="7" t="s">
        <v>63</v>
      </c>
      <c r="I43" s="7"/>
      <c r="J43" s="6"/>
      <c r="K43" s="77">
        <v>0</v>
      </c>
      <c r="L43" s="28">
        <f t="shared" si="2"/>
        <v>0</v>
      </c>
      <c r="N43" s="12" t="s">
        <v>29</v>
      </c>
      <c r="P43" s="41">
        <f t="shared" si="3"/>
        <v>-1999</v>
      </c>
      <c r="Q43" s="41">
        <f t="shared" si="3"/>
        <v>0</v>
      </c>
      <c r="R43" s="41">
        <f t="shared" si="3"/>
        <v>0</v>
      </c>
      <c r="S43" s="41">
        <f t="shared" si="3"/>
        <v>0</v>
      </c>
      <c r="T43" s="41">
        <f t="shared" si="3"/>
        <v>0</v>
      </c>
      <c r="U43" s="85">
        <f t="shared" si="4"/>
        <v>-1999</v>
      </c>
      <c r="AC43" s="1"/>
      <c r="AD43" s="1"/>
      <c r="AE43" s="1"/>
    </row>
    <row r="44" spans="1:31" x14ac:dyDescent="0.2">
      <c r="A44" s="1"/>
      <c r="B44" s="80" t="s">
        <v>27</v>
      </c>
      <c r="C44" s="80"/>
      <c r="D44" s="81"/>
      <c r="E44" s="27">
        <f>IFERROR(F44/$F$36,0)</f>
        <v>0</v>
      </c>
      <c r="F44" s="77">
        <v>0</v>
      </c>
      <c r="H44" s="80" t="s">
        <v>64</v>
      </c>
      <c r="I44" s="80"/>
      <c r="J44" s="81"/>
      <c r="K44" s="77">
        <v>0</v>
      </c>
      <c r="L44" s="28">
        <f t="shared" si="2"/>
        <v>0</v>
      </c>
      <c r="N44" s="12" t="s">
        <v>21</v>
      </c>
      <c r="P44" s="41">
        <f t="shared" si="3"/>
        <v>0</v>
      </c>
      <c r="Q44" s="41">
        <f t="shared" si="3"/>
        <v>0</v>
      </c>
      <c r="R44" s="41">
        <f t="shared" si="3"/>
        <v>0</v>
      </c>
      <c r="S44" s="41">
        <f t="shared" si="3"/>
        <v>0</v>
      </c>
      <c r="T44" s="41">
        <f t="shared" si="3"/>
        <v>0</v>
      </c>
      <c r="U44" s="85">
        <f t="shared" si="4"/>
        <v>0</v>
      </c>
    </row>
    <row r="45" spans="1:31" x14ac:dyDescent="0.2">
      <c r="A45" s="1"/>
      <c r="B45" s="80" t="s">
        <v>24</v>
      </c>
      <c r="C45" s="80"/>
      <c r="D45" s="81"/>
      <c r="E45" s="27">
        <f>IFERROR(F45/$F$36,0)</f>
        <v>0</v>
      </c>
      <c r="F45" s="77">
        <v>0</v>
      </c>
      <c r="H45" s="80" t="s">
        <v>65</v>
      </c>
      <c r="I45" s="80"/>
      <c r="J45" s="81"/>
      <c r="K45" s="77">
        <v>0</v>
      </c>
      <c r="L45" s="28">
        <f t="shared" si="2"/>
        <v>0</v>
      </c>
      <c r="N45" s="12" t="s">
        <v>8</v>
      </c>
      <c r="P45" s="41">
        <f t="shared" si="3"/>
        <v>0</v>
      </c>
      <c r="Q45" s="41">
        <f t="shared" si="3"/>
        <v>0</v>
      </c>
      <c r="R45" s="41">
        <f t="shared" si="3"/>
        <v>0</v>
      </c>
      <c r="S45" s="41">
        <f t="shared" si="3"/>
        <v>0</v>
      </c>
      <c r="T45" s="41">
        <f t="shared" si="3"/>
        <v>0</v>
      </c>
      <c r="U45" s="85">
        <f t="shared" si="4"/>
        <v>0</v>
      </c>
    </row>
    <row r="46" spans="1:31" x14ac:dyDescent="0.2">
      <c r="A46" s="1"/>
      <c r="B46" s="80" t="s">
        <v>25</v>
      </c>
      <c r="C46" s="80"/>
      <c r="D46" s="81"/>
      <c r="E46" s="27">
        <f>IFERROR(F46/$F$36,0)</f>
        <v>0</v>
      </c>
      <c r="F46" s="77">
        <v>0</v>
      </c>
      <c r="H46" s="80" t="s">
        <v>66</v>
      </c>
      <c r="I46" s="80"/>
      <c r="J46" s="81"/>
      <c r="K46" s="77">
        <v>0</v>
      </c>
      <c r="L46" s="28">
        <f t="shared" si="2"/>
        <v>0</v>
      </c>
      <c r="N46" s="12" t="s">
        <v>9</v>
      </c>
      <c r="P46" s="41">
        <f t="shared" si="3"/>
        <v>0</v>
      </c>
      <c r="Q46" s="41">
        <f t="shared" si="3"/>
        <v>0</v>
      </c>
      <c r="R46" s="41">
        <f t="shared" si="3"/>
        <v>0</v>
      </c>
      <c r="S46" s="41">
        <f t="shared" si="3"/>
        <v>0</v>
      </c>
      <c r="T46" s="41">
        <f t="shared" si="3"/>
        <v>0</v>
      </c>
      <c r="U46" s="85">
        <f t="shared" si="4"/>
        <v>0</v>
      </c>
    </row>
    <row r="47" spans="1:31" x14ac:dyDescent="0.2">
      <c r="A47" s="1"/>
      <c r="B47" s="1"/>
      <c r="C47" s="1"/>
      <c r="D47" s="1"/>
      <c r="E47" s="1"/>
      <c r="F47" s="1"/>
      <c r="H47" s="20" t="s">
        <v>67</v>
      </c>
      <c r="I47" s="20"/>
      <c r="J47" s="20"/>
      <c r="K47" s="5"/>
      <c r="L47" s="100">
        <v>0</v>
      </c>
      <c r="N47" s="12" t="s">
        <v>141</v>
      </c>
      <c r="P47" s="41">
        <f t="shared" si="3"/>
        <v>0</v>
      </c>
      <c r="Q47" s="41">
        <f t="shared" si="3"/>
        <v>0</v>
      </c>
      <c r="R47" s="41">
        <f t="shared" si="3"/>
        <v>0</v>
      </c>
      <c r="S47" s="41">
        <f t="shared" si="3"/>
        <v>0</v>
      </c>
      <c r="T47" s="41">
        <f t="shared" si="3"/>
        <v>0</v>
      </c>
      <c r="U47" s="85">
        <f t="shared" si="4"/>
        <v>0</v>
      </c>
    </row>
    <row r="48" spans="1:31" x14ac:dyDescent="0.2">
      <c r="A48" s="1"/>
      <c r="B48" s="4" t="s">
        <v>54</v>
      </c>
      <c r="C48" s="4"/>
      <c r="D48" s="4"/>
      <c r="E48" s="24" t="s">
        <v>38</v>
      </c>
      <c r="F48" s="25" t="str">
        <f>"Amount ("&amp;$F$14&amp;")"</f>
        <v>Amount ($)</v>
      </c>
      <c r="H48" s="20" t="s">
        <v>68</v>
      </c>
      <c r="I48" s="37"/>
      <c r="J48" s="37"/>
      <c r="K48" s="38"/>
      <c r="L48" s="100">
        <v>0</v>
      </c>
      <c r="N48" s="12" t="s">
        <v>10</v>
      </c>
      <c r="P48" s="41">
        <f t="shared" si="3"/>
        <v>0</v>
      </c>
      <c r="Q48" s="41">
        <f t="shared" si="3"/>
        <v>0</v>
      </c>
      <c r="R48" s="41">
        <f t="shared" si="3"/>
        <v>0</v>
      </c>
      <c r="S48" s="41">
        <f t="shared" si="3"/>
        <v>0</v>
      </c>
      <c r="T48" s="41">
        <f t="shared" si="3"/>
        <v>0</v>
      </c>
      <c r="U48" s="85">
        <f t="shared" si="4"/>
        <v>0</v>
      </c>
    </row>
    <row r="49" spans="1:21" x14ac:dyDescent="0.2">
      <c r="A49" s="1"/>
      <c r="B49" s="5" t="s">
        <v>43</v>
      </c>
      <c r="C49" s="18"/>
      <c r="D49" s="5"/>
      <c r="E49" s="26">
        <f>1-E37</f>
        <v>0.8</v>
      </c>
      <c r="F49" s="28">
        <f>E49*F36</f>
        <v>160000</v>
      </c>
      <c r="G49" s="16"/>
      <c r="H49" s="84" t="s">
        <v>95</v>
      </c>
      <c r="I49" s="84"/>
      <c r="J49" s="84"/>
      <c r="K49" s="84"/>
      <c r="L49" s="85">
        <f>(L37-SUM(L38:L46))/12</f>
        <v>0</v>
      </c>
      <c r="N49" s="12" t="s">
        <v>11</v>
      </c>
      <c r="P49" s="41">
        <f t="shared" si="3"/>
        <v>0</v>
      </c>
      <c r="Q49" s="41">
        <f t="shared" si="3"/>
        <v>0</v>
      </c>
      <c r="R49" s="41">
        <f t="shared" si="3"/>
        <v>0</v>
      </c>
      <c r="S49" s="41">
        <f t="shared" si="3"/>
        <v>0</v>
      </c>
      <c r="T49" s="41">
        <f t="shared" si="3"/>
        <v>0</v>
      </c>
      <c r="U49" s="85">
        <f t="shared" si="4"/>
        <v>0</v>
      </c>
    </row>
    <row r="50" spans="1:21" x14ac:dyDescent="0.2">
      <c r="A50" s="1"/>
      <c r="B50" s="7" t="s">
        <v>84</v>
      </c>
      <c r="C50" s="7"/>
      <c r="D50" s="20"/>
      <c r="E50" s="23"/>
      <c r="F50" s="82">
        <v>0</v>
      </c>
      <c r="N50" s="12" t="s">
        <v>12</v>
      </c>
      <c r="P50" s="41">
        <f t="shared" ref="P50:T56" si="5">SUMIF($E$74:$BM$74,P$38,$E87:$XEW87)</f>
        <v>0</v>
      </c>
      <c r="Q50" s="41">
        <f t="shared" si="5"/>
        <v>0</v>
      </c>
      <c r="R50" s="41">
        <f t="shared" si="5"/>
        <v>0</v>
      </c>
      <c r="S50" s="41">
        <f t="shared" si="5"/>
        <v>0</v>
      </c>
      <c r="T50" s="41">
        <f t="shared" si="5"/>
        <v>0</v>
      </c>
      <c r="U50" s="85">
        <f t="shared" si="4"/>
        <v>0</v>
      </c>
    </row>
    <row r="51" spans="1:21" ht="12.5" customHeight="1" x14ac:dyDescent="0.2">
      <c r="A51" s="1"/>
      <c r="B51" s="6" t="s">
        <v>85</v>
      </c>
      <c r="C51" s="19"/>
      <c r="D51" s="6"/>
      <c r="E51" s="83">
        <v>0</v>
      </c>
      <c r="F51" s="28">
        <f>E51*F49</f>
        <v>0</v>
      </c>
      <c r="H51" s="3" t="s">
        <v>49</v>
      </c>
      <c r="N51" s="12" t="s">
        <v>20</v>
      </c>
      <c r="P51" s="41">
        <f t="shared" si="5"/>
        <v>0</v>
      </c>
      <c r="Q51" s="41">
        <f t="shared" si="5"/>
        <v>0</v>
      </c>
      <c r="R51" s="41">
        <f t="shared" si="5"/>
        <v>0</v>
      </c>
      <c r="S51" s="41">
        <f t="shared" si="5"/>
        <v>0</v>
      </c>
      <c r="T51" s="41">
        <f t="shared" si="5"/>
        <v>0</v>
      </c>
      <c r="U51" s="85">
        <f t="shared" si="4"/>
        <v>0</v>
      </c>
    </row>
    <row r="52" spans="1:21" x14ac:dyDescent="0.2">
      <c r="A52" s="1"/>
      <c r="B52" s="6" t="s">
        <v>121</v>
      </c>
      <c r="C52" s="19"/>
      <c r="D52" s="6"/>
      <c r="E52" s="83">
        <v>0</v>
      </c>
      <c r="F52" s="28">
        <f>E52*F49</f>
        <v>0</v>
      </c>
      <c r="H52" s="4" t="s">
        <v>69</v>
      </c>
      <c r="I52" s="9"/>
      <c r="J52" s="11"/>
      <c r="K52" s="31"/>
      <c r="L52" s="25" t="str">
        <f>"Amount ("&amp;$F$14&amp;")"</f>
        <v>Amount ($)</v>
      </c>
      <c r="N52" s="12" t="str">
        <f>RIGHT(H44,LEN(H44)-5)</f>
        <v>Other (pcm / p.a.)</v>
      </c>
      <c r="P52" s="41">
        <f t="shared" si="5"/>
        <v>0</v>
      </c>
      <c r="Q52" s="41">
        <f t="shared" si="5"/>
        <v>0</v>
      </c>
      <c r="R52" s="41">
        <f t="shared" si="5"/>
        <v>0</v>
      </c>
      <c r="S52" s="41">
        <f t="shared" si="5"/>
        <v>0</v>
      </c>
      <c r="T52" s="41">
        <f t="shared" si="5"/>
        <v>0</v>
      </c>
      <c r="U52" s="85">
        <f t="shared" si="4"/>
        <v>0</v>
      </c>
    </row>
    <row r="53" spans="1:21" x14ac:dyDescent="0.2">
      <c r="A53" s="1"/>
      <c r="B53" s="6" t="s">
        <v>122</v>
      </c>
      <c r="C53" s="19"/>
      <c r="D53" s="6"/>
      <c r="E53" s="83">
        <v>0</v>
      </c>
      <c r="F53" s="28">
        <f>E53*F49</f>
        <v>0</v>
      </c>
      <c r="H53" s="20" t="s">
        <v>73</v>
      </c>
      <c r="I53" s="20"/>
      <c r="J53" s="5"/>
      <c r="K53" s="38"/>
      <c r="L53" s="77">
        <v>0</v>
      </c>
      <c r="N53" s="12" t="str">
        <f>RIGHT(H45,LEN(H45)-5)</f>
        <v>Other (pcm / p.a.)</v>
      </c>
      <c r="P53" s="41">
        <f t="shared" si="5"/>
        <v>0</v>
      </c>
      <c r="Q53" s="41">
        <f t="shared" si="5"/>
        <v>0</v>
      </c>
      <c r="R53" s="41">
        <f t="shared" si="5"/>
        <v>0</v>
      </c>
      <c r="S53" s="41">
        <f t="shared" si="5"/>
        <v>0</v>
      </c>
      <c r="T53" s="41">
        <f t="shared" si="5"/>
        <v>0</v>
      </c>
      <c r="U53" s="85">
        <f t="shared" si="4"/>
        <v>0</v>
      </c>
    </row>
    <row r="54" spans="1:21" x14ac:dyDescent="0.2">
      <c r="B54" s="6" t="s">
        <v>123</v>
      </c>
      <c r="C54" s="19"/>
      <c r="D54" s="6"/>
      <c r="E54" s="27">
        <f>IFERROR(F54/$F$49,0)</f>
        <v>0</v>
      </c>
      <c r="F54" s="77">
        <v>0</v>
      </c>
      <c r="H54" s="84" t="s">
        <v>50</v>
      </c>
      <c r="I54" s="84"/>
      <c r="J54" s="84"/>
      <c r="K54" s="84"/>
      <c r="L54" s="101">
        <f>IFERROR(L37/L53,0)</f>
        <v>0</v>
      </c>
      <c r="N54" s="12" t="str">
        <f>RIGHT(H46,LEN(H46)-6)</f>
        <v>Other (pcm / p.a.)</v>
      </c>
      <c r="P54" s="41">
        <f t="shared" si="5"/>
        <v>0</v>
      </c>
      <c r="Q54" s="41">
        <f t="shared" si="5"/>
        <v>0</v>
      </c>
      <c r="R54" s="41">
        <f t="shared" si="5"/>
        <v>0</v>
      </c>
      <c r="S54" s="41">
        <f t="shared" si="5"/>
        <v>0</v>
      </c>
      <c r="T54" s="41">
        <f t="shared" si="5"/>
        <v>0</v>
      </c>
      <c r="U54" s="85">
        <f t="shared" si="4"/>
        <v>0</v>
      </c>
    </row>
    <row r="55" spans="1:21" x14ac:dyDescent="0.2">
      <c r="A55" s="1"/>
      <c r="B55" s="6" t="s">
        <v>124</v>
      </c>
      <c r="C55" s="19"/>
      <c r="D55" s="6"/>
      <c r="E55" s="27">
        <f>IFERROR(F55/$F$49,0)</f>
        <v>0</v>
      </c>
      <c r="F55" s="77">
        <v>0</v>
      </c>
      <c r="H55" s="84" t="s">
        <v>94</v>
      </c>
      <c r="I55" s="84"/>
      <c r="J55" s="84"/>
      <c r="K55" s="84"/>
      <c r="L55" s="85">
        <f>L49-IF(K59="Interest only",L63,L64)</f>
        <v>0</v>
      </c>
      <c r="N55" s="12" t="s">
        <v>13</v>
      </c>
      <c r="P55" s="41">
        <f t="shared" si="5"/>
        <v>0</v>
      </c>
      <c r="Q55" s="41">
        <f t="shared" si="5"/>
        <v>0</v>
      </c>
      <c r="R55" s="41">
        <f t="shared" si="5"/>
        <v>0</v>
      </c>
      <c r="S55" s="41">
        <f t="shared" si="5"/>
        <v>0</v>
      </c>
      <c r="T55" s="41">
        <f t="shared" si="5"/>
        <v>0</v>
      </c>
      <c r="U55" s="85">
        <f t="shared" si="4"/>
        <v>0</v>
      </c>
    </row>
    <row r="56" spans="1:21" x14ac:dyDescent="0.2">
      <c r="A56" s="1"/>
      <c r="B56" s="7" t="s">
        <v>126</v>
      </c>
      <c r="C56" s="20"/>
      <c r="D56" s="6"/>
      <c r="E56" s="27">
        <f>IFERROR(F56/$F$49,0)</f>
        <v>0</v>
      </c>
      <c r="F56" s="77">
        <v>0</v>
      </c>
      <c r="H56" s="84" t="s">
        <v>51</v>
      </c>
      <c r="I56" s="84"/>
      <c r="J56" s="84"/>
      <c r="K56" s="84"/>
      <c r="L56" s="101">
        <f>IFERROR(L55*12/L53,0)</f>
        <v>0</v>
      </c>
      <c r="N56" s="12" t="s">
        <v>14</v>
      </c>
      <c r="P56" s="41">
        <f t="shared" si="5"/>
        <v>0</v>
      </c>
      <c r="Q56" s="41">
        <f t="shared" si="5"/>
        <v>0</v>
      </c>
      <c r="R56" s="41">
        <f t="shared" si="5"/>
        <v>0</v>
      </c>
      <c r="S56" s="41">
        <f t="shared" si="5"/>
        <v>0</v>
      </c>
      <c r="T56" s="41">
        <f t="shared" si="5"/>
        <v>0</v>
      </c>
      <c r="U56" s="85">
        <f t="shared" si="4"/>
        <v>0</v>
      </c>
    </row>
    <row r="57" spans="1:21" x14ac:dyDescent="0.2">
      <c r="A57" s="1"/>
      <c r="B57" s="7" t="s">
        <v>125</v>
      </c>
      <c r="C57" s="20"/>
      <c r="D57" s="6"/>
      <c r="E57" s="83">
        <v>0</v>
      </c>
      <c r="F57" s="28">
        <f>E57*F49</f>
        <v>0</v>
      </c>
      <c r="N57" s="13" t="s">
        <v>15</v>
      </c>
      <c r="O57" s="13"/>
      <c r="P57" s="42">
        <f t="shared" ref="P57:U57" si="6">SUM(P40:P56)</f>
        <v>-203999</v>
      </c>
      <c r="Q57" s="42">
        <f t="shared" si="6"/>
        <v>0</v>
      </c>
      <c r="R57" s="42">
        <f t="shared" si="6"/>
        <v>0</v>
      </c>
      <c r="S57" s="42">
        <f t="shared" si="6"/>
        <v>0</v>
      </c>
      <c r="T57" s="42">
        <f t="shared" si="6"/>
        <v>0</v>
      </c>
      <c r="U57" s="85">
        <f t="shared" si="6"/>
        <v>-203999</v>
      </c>
    </row>
    <row r="58" spans="1:21" x14ac:dyDescent="0.2">
      <c r="A58" s="1"/>
      <c r="B58" s="84" t="s">
        <v>53</v>
      </c>
      <c r="C58" s="84"/>
      <c r="D58" s="84"/>
      <c r="E58" s="84"/>
      <c r="F58" s="85">
        <f>SUM(F37:F46,F52:F56)</f>
        <v>43999</v>
      </c>
      <c r="H58" s="4" t="s">
        <v>74</v>
      </c>
      <c r="I58" s="9"/>
      <c r="J58" s="11"/>
      <c r="K58" s="31"/>
      <c r="L58" s="25" t="str">
        <f>"Amount ("&amp;$F$14&amp;")"</f>
        <v>Amount ($)</v>
      </c>
      <c r="N58" s="12" t="str">
        <f t="shared" ref="N58:N69" si="7">B95</f>
        <v>Debt Drawdown -Purchase</v>
      </c>
      <c r="P58" s="41">
        <f t="shared" ref="P58:T69" si="8">SUMIF($E$74:$BM$74,P$38,$E95:$XEW95)</f>
        <v>160000</v>
      </c>
      <c r="Q58" s="41">
        <f t="shared" si="8"/>
        <v>0</v>
      </c>
      <c r="R58" s="41">
        <f t="shared" si="8"/>
        <v>0</v>
      </c>
      <c r="S58" s="41">
        <f t="shared" si="8"/>
        <v>0</v>
      </c>
      <c r="T58" s="41">
        <f t="shared" si="8"/>
        <v>0</v>
      </c>
      <c r="U58" s="85">
        <f t="shared" ref="U58:U69" si="9">SUM(P58:T58)</f>
        <v>160000</v>
      </c>
    </row>
    <row r="59" spans="1:21" x14ac:dyDescent="0.2">
      <c r="A59" s="1"/>
      <c r="H59" s="45" t="s">
        <v>76</v>
      </c>
      <c r="I59" s="44"/>
      <c r="J59" s="45"/>
      <c r="K59" s="102" t="s">
        <v>75</v>
      </c>
      <c r="L59" s="103"/>
      <c r="N59" s="12" t="str">
        <f t="shared" si="7"/>
        <v>Lender Fees</v>
      </c>
      <c r="P59" s="41">
        <f t="shared" si="8"/>
        <v>0</v>
      </c>
      <c r="Q59" s="41">
        <f t="shared" si="8"/>
        <v>0</v>
      </c>
      <c r="R59" s="41">
        <f t="shared" si="8"/>
        <v>0</v>
      </c>
      <c r="S59" s="41">
        <f t="shared" si="8"/>
        <v>0</v>
      </c>
      <c r="T59" s="41">
        <f t="shared" si="8"/>
        <v>0</v>
      </c>
      <c r="U59" s="85">
        <f t="shared" si="9"/>
        <v>0</v>
      </c>
    </row>
    <row r="60" spans="1:21" x14ac:dyDescent="0.2">
      <c r="A60" s="1"/>
      <c r="B60" s="3" t="s">
        <v>47</v>
      </c>
      <c r="H60" s="45" t="s">
        <v>77</v>
      </c>
      <c r="I60" s="44"/>
      <c r="J60" s="46"/>
      <c r="K60" s="47"/>
      <c r="L60" s="104">
        <v>0</v>
      </c>
      <c r="N60" s="12" t="str">
        <f t="shared" si="7"/>
        <v>Interest</v>
      </c>
      <c r="P60" s="41">
        <f t="shared" si="8"/>
        <v>0</v>
      </c>
      <c r="Q60" s="41">
        <f t="shared" si="8"/>
        <v>0</v>
      </c>
      <c r="R60" s="41">
        <f t="shared" si="8"/>
        <v>0</v>
      </c>
      <c r="S60" s="41">
        <f t="shared" si="8"/>
        <v>0</v>
      </c>
      <c r="T60" s="41">
        <f t="shared" si="8"/>
        <v>0</v>
      </c>
      <c r="U60" s="85">
        <f t="shared" si="9"/>
        <v>0</v>
      </c>
    </row>
    <row r="61" spans="1:21" x14ac:dyDescent="0.2">
      <c r="A61" s="1"/>
      <c r="B61" s="4" t="s">
        <v>44</v>
      </c>
      <c r="C61" s="10"/>
      <c r="D61" s="10"/>
      <c r="E61" s="24" t="s">
        <v>36</v>
      </c>
      <c r="F61" s="25" t="str">
        <f>"Amount ("&amp;$F$14&amp;")"</f>
        <v>Amount ($)</v>
      </c>
      <c r="H61" s="45" t="s">
        <v>78</v>
      </c>
      <c r="I61" s="44"/>
      <c r="J61" s="45"/>
      <c r="K61" s="79">
        <v>0</v>
      </c>
      <c r="L61" s="28">
        <f>K61*L53</f>
        <v>0</v>
      </c>
      <c r="N61" s="48" t="str">
        <f t="shared" si="7"/>
        <v>Debt Repayment -Purchase</v>
      </c>
      <c r="O61" s="54"/>
      <c r="P61" s="55">
        <f t="shared" si="8"/>
        <v>0</v>
      </c>
      <c r="Q61" s="55">
        <f t="shared" si="8"/>
        <v>0</v>
      </c>
      <c r="R61" s="55">
        <f t="shared" si="8"/>
        <v>0</v>
      </c>
      <c r="S61" s="55">
        <f t="shared" si="8"/>
        <v>0</v>
      </c>
      <c r="T61" s="55">
        <f t="shared" si="8"/>
        <v>0</v>
      </c>
      <c r="U61" s="85">
        <f t="shared" si="9"/>
        <v>0</v>
      </c>
    </row>
    <row r="62" spans="1:21" x14ac:dyDescent="0.2">
      <c r="A62" s="1"/>
      <c r="B62" s="5" t="s">
        <v>70</v>
      </c>
      <c r="C62" s="18"/>
      <c r="D62" s="5"/>
      <c r="E62" s="26">
        <f>IFERROR(F62/$F$36,0)</f>
        <v>0</v>
      </c>
      <c r="F62" s="77">
        <v>0</v>
      </c>
      <c r="H62" s="45" t="s">
        <v>79</v>
      </c>
      <c r="I62" s="43"/>
      <c r="J62" s="43"/>
      <c r="K62" s="105">
        <v>0</v>
      </c>
      <c r="L62" s="28">
        <f>K62*L61</f>
        <v>0</v>
      </c>
      <c r="N62" s="48" t="str">
        <f t="shared" si="7"/>
        <v>Debt Drawdown -Refurbishment</v>
      </c>
      <c r="O62" s="54"/>
      <c r="P62" s="55">
        <f t="shared" si="8"/>
        <v>0</v>
      </c>
      <c r="Q62" s="55">
        <f t="shared" si="8"/>
        <v>0</v>
      </c>
      <c r="R62" s="55">
        <f t="shared" si="8"/>
        <v>0</v>
      </c>
      <c r="S62" s="55">
        <f t="shared" si="8"/>
        <v>0</v>
      </c>
      <c r="T62" s="55">
        <f t="shared" si="8"/>
        <v>0</v>
      </c>
      <c r="U62" s="85">
        <f t="shared" si="9"/>
        <v>0</v>
      </c>
    </row>
    <row r="63" spans="1:21" x14ac:dyDescent="0.2">
      <c r="A63" s="1"/>
      <c r="B63" s="7" t="s">
        <v>71</v>
      </c>
      <c r="C63" s="7"/>
      <c r="D63" s="20"/>
      <c r="E63" s="23"/>
      <c r="F63" s="82">
        <v>0</v>
      </c>
      <c r="H63" s="45" t="s">
        <v>90</v>
      </c>
      <c r="I63" s="43"/>
      <c r="J63" s="43"/>
      <c r="K63" s="105">
        <v>0</v>
      </c>
      <c r="L63" s="28">
        <f>K63*L61/12</f>
        <v>0</v>
      </c>
      <c r="N63" s="48" t="str">
        <f t="shared" si="7"/>
        <v>Lender Fees</v>
      </c>
      <c r="O63" s="54"/>
      <c r="P63" s="55">
        <f t="shared" si="8"/>
        <v>0</v>
      </c>
      <c r="Q63" s="55">
        <f t="shared" si="8"/>
        <v>0</v>
      </c>
      <c r="R63" s="55">
        <f t="shared" si="8"/>
        <v>0</v>
      </c>
      <c r="S63" s="55">
        <f t="shared" si="8"/>
        <v>0</v>
      </c>
      <c r="T63" s="55">
        <f t="shared" si="8"/>
        <v>0</v>
      </c>
      <c r="U63" s="85">
        <f t="shared" si="9"/>
        <v>0</v>
      </c>
    </row>
    <row r="64" spans="1:21" x14ac:dyDescent="0.2">
      <c r="A64" s="1"/>
      <c r="B64" s="1"/>
      <c r="C64" s="1"/>
      <c r="D64" s="1"/>
      <c r="E64" s="9"/>
      <c r="F64" s="9"/>
      <c r="H64" s="45" t="s">
        <v>91</v>
      </c>
      <c r="I64" s="43"/>
      <c r="J64" s="43"/>
      <c r="K64" s="105">
        <v>0</v>
      </c>
      <c r="L64" s="28">
        <f>IFERROR(PMT(K64/12,L60*12,-L61),0)</f>
        <v>0</v>
      </c>
      <c r="N64" s="48" t="str">
        <f t="shared" si="7"/>
        <v>Interest</v>
      </c>
      <c r="O64" s="54"/>
      <c r="P64" s="55">
        <f t="shared" si="8"/>
        <v>0</v>
      </c>
      <c r="Q64" s="55">
        <f t="shared" si="8"/>
        <v>0</v>
      </c>
      <c r="R64" s="55">
        <f t="shared" si="8"/>
        <v>0</v>
      </c>
      <c r="S64" s="55">
        <f t="shared" si="8"/>
        <v>0</v>
      </c>
      <c r="T64" s="55">
        <f t="shared" si="8"/>
        <v>0</v>
      </c>
      <c r="U64" s="85">
        <f t="shared" si="9"/>
        <v>0</v>
      </c>
    </row>
    <row r="65" spans="1:65" x14ac:dyDescent="0.2">
      <c r="B65" s="4" t="s">
        <v>45</v>
      </c>
      <c r="C65" s="4"/>
      <c r="D65" s="4"/>
      <c r="E65" s="24" t="s">
        <v>56</v>
      </c>
      <c r="F65" s="25" t="str">
        <f>"Amount ("&amp;$F$14&amp;")"</f>
        <v>Amount ($)</v>
      </c>
      <c r="H65" s="84" t="str">
        <f>H25</f>
        <v>Payout at refinancing after lender fees</v>
      </c>
      <c r="I65" s="84"/>
      <c r="J65" s="84"/>
      <c r="K65" s="84"/>
      <c r="L65" s="85">
        <f>L25</f>
        <v>-160000</v>
      </c>
      <c r="N65" s="48" t="str">
        <f t="shared" si="7"/>
        <v>Debt Repayment-Refurbishment</v>
      </c>
      <c r="O65" s="54"/>
      <c r="P65" s="55">
        <f t="shared" si="8"/>
        <v>0</v>
      </c>
      <c r="Q65" s="55">
        <f t="shared" si="8"/>
        <v>0</v>
      </c>
      <c r="R65" s="55">
        <f t="shared" si="8"/>
        <v>0</v>
      </c>
      <c r="S65" s="55">
        <f t="shared" si="8"/>
        <v>0</v>
      </c>
      <c r="T65" s="55">
        <f t="shared" si="8"/>
        <v>0</v>
      </c>
      <c r="U65" s="85">
        <f t="shared" si="9"/>
        <v>0</v>
      </c>
    </row>
    <row r="66" spans="1:65" x14ac:dyDescent="0.2">
      <c r="A66" s="1"/>
      <c r="B66" s="5" t="s">
        <v>72</v>
      </c>
      <c r="C66" s="18"/>
      <c r="D66" s="5"/>
      <c r="E66" s="78">
        <v>0</v>
      </c>
      <c r="F66" s="28">
        <f>E66*F62</f>
        <v>0</v>
      </c>
      <c r="N66" s="12" t="str">
        <f t="shared" si="7"/>
        <v>Debt Drawdown -Refinancing</v>
      </c>
      <c r="P66" s="41">
        <f t="shared" si="8"/>
        <v>0</v>
      </c>
      <c r="Q66" s="41">
        <f t="shared" si="8"/>
        <v>0</v>
      </c>
      <c r="R66" s="41">
        <f t="shared" si="8"/>
        <v>0</v>
      </c>
      <c r="S66" s="41">
        <f t="shared" si="8"/>
        <v>0</v>
      </c>
      <c r="T66" s="41">
        <f t="shared" si="8"/>
        <v>0</v>
      </c>
      <c r="U66" s="85">
        <f t="shared" si="9"/>
        <v>0</v>
      </c>
    </row>
    <row r="67" spans="1:65" x14ac:dyDescent="0.2">
      <c r="A67" s="1"/>
      <c r="B67" s="7" t="s">
        <v>86</v>
      </c>
      <c r="C67" s="7"/>
      <c r="D67" s="20"/>
      <c r="E67" s="23"/>
      <c r="F67" s="82">
        <v>0</v>
      </c>
      <c r="H67" s="4" t="s">
        <v>97</v>
      </c>
      <c r="K67" s="9"/>
      <c r="L67" s="25" t="str">
        <f>"Amount ("&amp;$F$14&amp;")"</f>
        <v>Amount ($)</v>
      </c>
      <c r="N67" s="12" t="str">
        <f t="shared" si="7"/>
        <v>Lender Fees</v>
      </c>
      <c r="P67" s="41">
        <f t="shared" si="8"/>
        <v>0</v>
      </c>
      <c r="Q67" s="41">
        <f t="shared" si="8"/>
        <v>0</v>
      </c>
      <c r="R67" s="41">
        <f t="shared" si="8"/>
        <v>0</v>
      </c>
      <c r="S67" s="41">
        <f t="shared" si="8"/>
        <v>0</v>
      </c>
      <c r="T67" s="41">
        <f t="shared" si="8"/>
        <v>0</v>
      </c>
      <c r="U67" s="85">
        <f t="shared" si="9"/>
        <v>0</v>
      </c>
    </row>
    <row r="68" spans="1:65" x14ac:dyDescent="0.2">
      <c r="A68" s="1"/>
      <c r="B68" s="6" t="s">
        <v>87</v>
      </c>
      <c r="C68" s="19"/>
      <c r="D68" s="6"/>
      <c r="E68" s="83">
        <v>0</v>
      </c>
      <c r="F68" s="28">
        <f>E68*F66</f>
        <v>0</v>
      </c>
      <c r="H68" s="20" t="s">
        <v>40</v>
      </c>
      <c r="I68" s="20"/>
      <c r="J68" s="5"/>
      <c r="K68" s="106">
        <v>60</v>
      </c>
      <c r="L68" s="29">
        <f>ROUNDUP(K68/12,0)</f>
        <v>5</v>
      </c>
      <c r="N68" s="12" t="str">
        <f t="shared" si="7"/>
        <v>Debt service</v>
      </c>
      <c r="O68" s="53"/>
      <c r="P68" s="41">
        <f t="shared" si="8"/>
        <v>0</v>
      </c>
      <c r="Q68" s="41">
        <f t="shared" si="8"/>
        <v>0</v>
      </c>
      <c r="R68" s="41">
        <f t="shared" si="8"/>
        <v>0</v>
      </c>
      <c r="S68" s="41">
        <f t="shared" si="8"/>
        <v>0</v>
      </c>
      <c r="T68" s="41">
        <f t="shared" si="8"/>
        <v>0</v>
      </c>
      <c r="U68" s="85">
        <f t="shared" si="9"/>
        <v>0</v>
      </c>
    </row>
    <row r="69" spans="1:65" x14ac:dyDescent="0.2">
      <c r="A69" s="1"/>
      <c r="B69" s="6" t="s">
        <v>88</v>
      </c>
      <c r="C69" s="19"/>
      <c r="D69" s="6"/>
      <c r="E69" s="83">
        <v>0</v>
      </c>
      <c r="F69" s="28">
        <f>E69*F66</f>
        <v>0</v>
      </c>
      <c r="H69" s="7" t="s">
        <v>31</v>
      </c>
      <c r="I69" s="7"/>
      <c r="J69" s="6"/>
      <c r="K69" s="15"/>
      <c r="L69" s="77">
        <v>0</v>
      </c>
      <c r="N69" s="12" t="str">
        <f t="shared" si="7"/>
        <v>Debt Repayment-Refinancing</v>
      </c>
      <c r="P69" s="41">
        <f t="shared" si="8"/>
        <v>0</v>
      </c>
      <c r="Q69" s="41">
        <f t="shared" si="8"/>
        <v>0</v>
      </c>
      <c r="R69" s="41">
        <f t="shared" si="8"/>
        <v>0</v>
      </c>
      <c r="S69" s="41">
        <f t="shared" si="8"/>
        <v>0</v>
      </c>
      <c r="T69" s="41">
        <f t="shared" si="8"/>
        <v>0</v>
      </c>
      <c r="U69" s="85">
        <f t="shared" si="9"/>
        <v>0</v>
      </c>
    </row>
    <row r="70" spans="1:65" x14ac:dyDescent="0.2">
      <c r="A70" s="1"/>
      <c r="B70" s="84" t="s">
        <v>55</v>
      </c>
      <c r="C70" s="84"/>
      <c r="D70" s="84"/>
      <c r="E70" s="84"/>
      <c r="F70" s="85">
        <f>F62-F66+F69</f>
        <v>0</v>
      </c>
      <c r="H70" s="7" t="s">
        <v>39</v>
      </c>
      <c r="I70" s="7"/>
      <c r="J70" s="6"/>
      <c r="K70" s="79">
        <v>0</v>
      </c>
      <c r="L70" s="28">
        <f>K70*L69</f>
        <v>0</v>
      </c>
      <c r="N70" s="110" t="s">
        <v>18</v>
      </c>
      <c r="O70" s="110"/>
      <c r="P70" s="111">
        <f t="shared" ref="P70:U70" si="10">SUM(P57:P69)</f>
        <v>-43999</v>
      </c>
      <c r="Q70" s="111">
        <f t="shared" si="10"/>
        <v>0</v>
      </c>
      <c r="R70" s="111">
        <f t="shared" si="10"/>
        <v>0</v>
      </c>
      <c r="S70" s="111">
        <f t="shared" si="10"/>
        <v>0</v>
      </c>
      <c r="T70" s="111">
        <f t="shared" si="10"/>
        <v>0</v>
      </c>
      <c r="U70" s="85">
        <f t="shared" si="10"/>
        <v>-43999</v>
      </c>
    </row>
    <row r="71" spans="1:65" x14ac:dyDescent="0.2">
      <c r="A71" s="1"/>
      <c r="B71" s="17"/>
      <c r="C71" s="1"/>
      <c r="D71" s="1"/>
      <c r="E71" s="1"/>
      <c r="F71" s="1"/>
      <c r="V71" s="1"/>
      <c r="W71" s="1"/>
      <c r="X71" s="1"/>
    </row>
    <row r="72" spans="1:65" x14ac:dyDescent="0.2">
      <c r="C72" s="12"/>
      <c r="D72" s="12"/>
    </row>
    <row r="73" spans="1:65" s="1" customFormat="1" ht="10" x14ac:dyDescent="0.15">
      <c r="B73" s="4" t="s">
        <v>108</v>
      </c>
    </row>
    <row r="74" spans="1:65" s="1" customFormat="1" ht="10" x14ac:dyDescent="0.15">
      <c r="E74" s="1">
        <v>1</v>
      </c>
      <c r="F74" s="1">
        <f>ROUNDUP(COUNT($E$75:F75)/12,0)</f>
        <v>1</v>
      </c>
      <c r="G74" s="1">
        <f>ROUNDUP(COUNT($E$75:G75)/12,0)</f>
        <v>1</v>
      </c>
      <c r="H74" s="1">
        <f>ROUNDUP(COUNT($E$75:H75)/12,0)</f>
        <v>1</v>
      </c>
      <c r="I74" s="1">
        <f>ROUNDUP(COUNT($E$75:I75)/12,0)</f>
        <v>1</v>
      </c>
      <c r="J74" s="1">
        <f>ROUNDUP(COUNT($E$75:J75)/12,0)</f>
        <v>1</v>
      </c>
      <c r="K74" s="1">
        <f>ROUNDUP(COUNT($E$75:K75)/12,0)</f>
        <v>1</v>
      </c>
      <c r="L74" s="1">
        <f>ROUNDUP(COUNT($E$75:L75)/12,0)</f>
        <v>1</v>
      </c>
      <c r="M74" s="1">
        <f>ROUNDUP(COUNT($E$75:M75)/12,0)</f>
        <v>1</v>
      </c>
      <c r="N74" s="1">
        <f>ROUNDUP(COUNT($E$75:N75)/12,0)</f>
        <v>1</v>
      </c>
      <c r="O74" s="1">
        <f>ROUNDUP(COUNT($E$75:O75)/12,0)</f>
        <v>1</v>
      </c>
      <c r="P74" s="1">
        <f>ROUNDUP(COUNT($E$75:P75)/12,0)</f>
        <v>1</v>
      </c>
      <c r="Q74" s="1">
        <v>1</v>
      </c>
      <c r="R74" s="1">
        <f>F74+1</f>
        <v>2</v>
      </c>
      <c r="S74" s="1">
        <f t="shared" ref="S74:BM74" si="11">G74+1</f>
        <v>2</v>
      </c>
      <c r="T74" s="1">
        <f t="shared" si="11"/>
        <v>2</v>
      </c>
      <c r="U74" s="1">
        <f t="shared" si="11"/>
        <v>2</v>
      </c>
      <c r="V74" s="1">
        <f t="shared" si="11"/>
        <v>2</v>
      </c>
      <c r="W74" s="1">
        <f t="shared" si="11"/>
        <v>2</v>
      </c>
      <c r="X74" s="1">
        <f t="shared" si="11"/>
        <v>2</v>
      </c>
      <c r="Y74" s="1">
        <f t="shared" si="11"/>
        <v>2</v>
      </c>
      <c r="Z74" s="1">
        <f t="shared" si="11"/>
        <v>2</v>
      </c>
      <c r="AA74" s="1">
        <f t="shared" si="11"/>
        <v>2</v>
      </c>
      <c r="AB74" s="1">
        <f t="shared" si="11"/>
        <v>2</v>
      </c>
      <c r="AC74" s="1">
        <f t="shared" si="11"/>
        <v>2</v>
      </c>
      <c r="AD74" s="1">
        <f t="shared" si="11"/>
        <v>3</v>
      </c>
      <c r="AE74" s="1">
        <f t="shared" si="11"/>
        <v>3</v>
      </c>
      <c r="AF74" s="1">
        <f t="shared" si="11"/>
        <v>3</v>
      </c>
      <c r="AG74" s="1">
        <f t="shared" si="11"/>
        <v>3</v>
      </c>
      <c r="AH74" s="1">
        <f t="shared" si="11"/>
        <v>3</v>
      </c>
      <c r="AI74" s="1">
        <f t="shared" si="11"/>
        <v>3</v>
      </c>
      <c r="AJ74" s="1">
        <f t="shared" si="11"/>
        <v>3</v>
      </c>
      <c r="AK74" s="1">
        <f t="shared" si="11"/>
        <v>3</v>
      </c>
      <c r="AL74" s="1">
        <f t="shared" si="11"/>
        <v>3</v>
      </c>
      <c r="AM74" s="1">
        <f t="shared" si="11"/>
        <v>3</v>
      </c>
      <c r="AN74" s="1">
        <f t="shared" si="11"/>
        <v>3</v>
      </c>
      <c r="AO74" s="1">
        <f t="shared" si="11"/>
        <v>3</v>
      </c>
      <c r="AP74" s="1">
        <f t="shared" si="11"/>
        <v>4</v>
      </c>
      <c r="AQ74" s="1">
        <f t="shared" si="11"/>
        <v>4</v>
      </c>
      <c r="AR74" s="1">
        <f t="shared" si="11"/>
        <v>4</v>
      </c>
      <c r="AS74" s="1">
        <f t="shared" si="11"/>
        <v>4</v>
      </c>
      <c r="AT74" s="1">
        <f t="shared" si="11"/>
        <v>4</v>
      </c>
      <c r="AU74" s="1">
        <f t="shared" si="11"/>
        <v>4</v>
      </c>
      <c r="AV74" s="1">
        <f t="shared" si="11"/>
        <v>4</v>
      </c>
      <c r="AW74" s="1">
        <f t="shared" si="11"/>
        <v>4</v>
      </c>
      <c r="AX74" s="1">
        <f t="shared" si="11"/>
        <v>4</v>
      </c>
      <c r="AY74" s="1">
        <f t="shared" si="11"/>
        <v>4</v>
      </c>
      <c r="AZ74" s="1">
        <f t="shared" si="11"/>
        <v>4</v>
      </c>
      <c r="BA74" s="1">
        <f t="shared" si="11"/>
        <v>4</v>
      </c>
      <c r="BB74" s="1">
        <f t="shared" si="11"/>
        <v>5</v>
      </c>
      <c r="BC74" s="1">
        <f t="shared" si="11"/>
        <v>5</v>
      </c>
      <c r="BD74" s="1">
        <f t="shared" si="11"/>
        <v>5</v>
      </c>
      <c r="BE74" s="1">
        <f t="shared" si="11"/>
        <v>5</v>
      </c>
      <c r="BF74" s="1">
        <f t="shared" si="11"/>
        <v>5</v>
      </c>
      <c r="BG74" s="1">
        <f t="shared" si="11"/>
        <v>5</v>
      </c>
      <c r="BH74" s="1">
        <f t="shared" si="11"/>
        <v>5</v>
      </c>
      <c r="BI74" s="1">
        <f t="shared" si="11"/>
        <v>5</v>
      </c>
      <c r="BJ74" s="1">
        <f t="shared" si="11"/>
        <v>5</v>
      </c>
      <c r="BK74" s="1">
        <f t="shared" si="11"/>
        <v>5</v>
      </c>
      <c r="BL74" s="1">
        <f t="shared" si="11"/>
        <v>5</v>
      </c>
      <c r="BM74" s="1">
        <f t="shared" si="11"/>
        <v>5</v>
      </c>
    </row>
    <row r="75" spans="1:65" s="1" customFormat="1" ht="10" x14ac:dyDescent="0.15">
      <c r="E75" s="1">
        <v>0</v>
      </c>
      <c r="F75" s="1">
        <f t="shared" ref="F75:O75" si="12">E75+1</f>
        <v>1</v>
      </c>
      <c r="G75" s="1">
        <f t="shared" si="12"/>
        <v>2</v>
      </c>
      <c r="H75" s="1">
        <f t="shared" si="12"/>
        <v>3</v>
      </c>
      <c r="I75" s="1">
        <f t="shared" si="12"/>
        <v>4</v>
      </c>
      <c r="J75" s="1">
        <f t="shared" si="12"/>
        <v>5</v>
      </c>
      <c r="K75" s="1">
        <f t="shared" si="12"/>
        <v>6</v>
      </c>
      <c r="L75" s="1">
        <f t="shared" si="12"/>
        <v>7</v>
      </c>
      <c r="M75" s="1">
        <f t="shared" si="12"/>
        <v>8</v>
      </c>
      <c r="N75" s="1">
        <f t="shared" si="12"/>
        <v>9</v>
      </c>
      <c r="O75" s="1">
        <f t="shared" si="12"/>
        <v>10</v>
      </c>
      <c r="P75" s="1">
        <f t="shared" ref="P75:AD75" si="13">O75+1</f>
        <v>11</v>
      </c>
      <c r="Q75" s="1">
        <f t="shared" si="13"/>
        <v>12</v>
      </c>
      <c r="R75" s="1">
        <f t="shared" si="13"/>
        <v>13</v>
      </c>
      <c r="S75" s="1">
        <f t="shared" si="13"/>
        <v>14</v>
      </c>
      <c r="T75" s="1">
        <f t="shared" si="13"/>
        <v>15</v>
      </c>
      <c r="U75" s="1">
        <f t="shared" si="13"/>
        <v>16</v>
      </c>
      <c r="V75" s="1">
        <f t="shared" si="13"/>
        <v>17</v>
      </c>
      <c r="W75" s="1">
        <f t="shared" si="13"/>
        <v>18</v>
      </c>
      <c r="X75" s="1">
        <f t="shared" si="13"/>
        <v>19</v>
      </c>
      <c r="Y75" s="1">
        <f t="shared" si="13"/>
        <v>20</v>
      </c>
      <c r="Z75" s="1">
        <f t="shared" si="13"/>
        <v>21</v>
      </c>
      <c r="AA75" s="1">
        <f t="shared" si="13"/>
        <v>22</v>
      </c>
      <c r="AB75" s="1">
        <f t="shared" si="13"/>
        <v>23</v>
      </c>
      <c r="AC75" s="1">
        <f t="shared" si="13"/>
        <v>24</v>
      </c>
      <c r="AD75" s="1">
        <f t="shared" si="13"/>
        <v>25</v>
      </c>
      <c r="AE75" s="1">
        <f t="shared" ref="AE75:BL75" si="14">AD75+1</f>
        <v>26</v>
      </c>
      <c r="AF75" s="1">
        <f t="shared" si="14"/>
        <v>27</v>
      </c>
      <c r="AG75" s="1">
        <f t="shared" si="14"/>
        <v>28</v>
      </c>
      <c r="AH75" s="1">
        <f t="shared" si="14"/>
        <v>29</v>
      </c>
      <c r="AI75" s="1">
        <f t="shared" si="14"/>
        <v>30</v>
      </c>
      <c r="AJ75" s="1">
        <f t="shared" si="14"/>
        <v>31</v>
      </c>
      <c r="AK75" s="1">
        <f t="shared" si="14"/>
        <v>32</v>
      </c>
      <c r="AL75" s="1">
        <f t="shared" si="14"/>
        <v>33</v>
      </c>
      <c r="AM75" s="1">
        <f t="shared" si="14"/>
        <v>34</v>
      </c>
      <c r="AN75" s="1">
        <f t="shared" si="14"/>
        <v>35</v>
      </c>
      <c r="AO75" s="1">
        <f t="shared" si="14"/>
        <v>36</v>
      </c>
      <c r="AP75" s="1">
        <f t="shared" si="14"/>
        <v>37</v>
      </c>
      <c r="AQ75" s="1">
        <f t="shared" si="14"/>
        <v>38</v>
      </c>
      <c r="AR75" s="1">
        <f t="shared" si="14"/>
        <v>39</v>
      </c>
      <c r="AS75" s="1">
        <f t="shared" si="14"/>
        <v>40</v>
      </c>
      <c r="AT75" s="1">
        <f t="shared" si="14"/>
        <v>41</v>
      </c>
      <c r="AU75" s="1">
        <f t="shared" si="14"/>
        <v>42</v>
      </c>
      <c r="AV75" s="1">
        <f t="shared" si="14"/>
        <v>43</v>
      </c>
      <c r="AW75" s="1">
        <f t="shared" si="14"/>
        <v>44</v>
      </c>
      <c r="AX75" s="1">
        <f t="shared" si="14"/>
        <v>45</v>
      </c>
      <c r="AY75" s="1">
        <f t="shared" si="14"/>
        <v>46</v>
      </c>
      <c r="AZ75" s="1">
        <f t="shared" si="14"/>
        <v>47</v>
      </c>
      <c r="BA75" s="1">
        <f t="shared" si="14"/>
        <v>48</v>
      </c>
      <c r="BB75" s="1">
        <f t="shared" si="14"/>
        <v>49</v>
      </c>
      <c r="BC75" s="1">
        <f t="shared" si="14"/>
        <v>50</v>
      </c>
      <c r="BD75" s="1">
        <f t="shared" si="14"/>
        <v>51</v>
      </c>
      <c r="BE75" s="1">
        <f t="shared" si="14"/>
        <v>52</v>
      </c>
      <c r="BF75" s="1">
        <f t="shared" si="14"/>
        <v>53</v>
      </c>
      <c r="BG75" s="1">
        <f t="shared" si="14"/>
        <v>54</v>
      </c>
      <c r="BH75" s="1">
        <f t="shared" si="14"/>
        <v>55</v>
      </c>
      <c r="BI75" s="1">
        <f t="shared" si="14"/>
        <v>56</v>
      </c>
      <c r="BJ75" s="1">
        <f t="shared" si="14"/>
        <v>57</v>
      </c>
      <c r="BK75" s="1">
        <f t="shared" si="14"/>
        <v>58</v>
      </c>
      <c r="BL75" s="1">
        <f t="shared" si="14"/>
        <v>59</v>
      </c>
      <c r="BM75" s="1">
        <f t="shared" ref="BM75" si="15">BL75+1</f>
        <v>60</v>
      </c>
    </row>
    <row r="76" spans="1:65" s="1" customFormat="1" ht="10" x14ac:dyDescent="0.15">
      <c r="B76" s="36"/>
      <c r="C76" s="36"/>
      <c r="D76" s="36"/>
      <c r="E76" s="30">
        <f>F15</f>
        <v>45138</v>
      </c>
      <c r="F76" s="30">
        <f t="shared" ref="F76:O76" si="16">EOMONTH(E76,1)</f>
        <v>45169</v>
      </c>
      <c r="G76" s="30">
        <f t="shared" si="16"/>
        <v>45199</v>
      </c>
      <c r="H76" s="30">
        <f t="shared" si="16"/>
        <v>45230</v>
      </c>
      <c r="I76" s="30">
        <f t="shared" si="16"/>
        <v>45260</v>
      </c>
      <c r="J76" s="30">
        <f t="shared" si="16"/>
        <v>45291</v>
      </c>
      <c r="K76" s="30">
        <f t="shared" si="16"/>
        <v>45322</v>
      </c>
      <c r="L76" s="30">
        <f t="shared" si="16"/>
        <v>45351</v>
      </c>
      <c r="M76" s="30">
        <f t="shared" si="16"/>
        <v>45382</v>
      </c>
      <c r="N76" s="30">
        <f t="shared" si="16"/>
        <v>45412</v>
      </c>
      <c r="O76" s="30">
        <f t="shared" si="16"/>
        <v>45443</v>
      </c>
      <c r="P76" s="30">
        <f t="shared" ref="P76:AD76" si="17">EOMONTH(O76,1)</f>
        <v>45473</v>
      </c>
      <c r="Q76" s="30">
        <f t="shared" si="17"/>
        <v>45504</v>
      </c>
      <c r="R76" s="30">
        <f t="shared" si="17"/>
        <v>45535</v>
      </c>
      <c r="S76" s="30">
        <f t="shared" si="17"/>
        <v>45565</v>
      </c>
      <c r="T76" s="30">
        <f t="shared" si="17"/>
        <v>45596</v>
      </c>
      <c r="U76" s="30">
        <f t="shared" si="17"/>
        <v>45626</v>
      </c>
      <c r="V76" s="30">
        <f t="shared" si="17"/>
        <v>45657</v>
      </c>
      <c r="W76" s="30">
        <f t="shared" si="17"/>
        <v>45688</v>
      </c>
      <c r="X76" s="30">
        <f t="shared" si="17"/>
        <v>45716</v>
      </c>
      <c r="Y76" s="30">
        <f t="shared" si="17"/>
        <v>45747</v>
      </c>
      <c r="Z76" s="30">
        <f t="shared" si="17"/>
        <v>45777</v>
      </c>
      <c r="AA76" s="30">
        <f t="shared" si="17"/>
        <v>45808</v>
      </c>
      <c r="AB76" s="30">
        <f t="shared" si="17"/>
        <v>45838</v>
      </c>
      <c r="AC76" s="30">
        <f t="shared" si="17"/>
        <v>45869</v>
      </c>
      <c r="AD76" s="30">
        <f t="shared" si="17"/>
        <v>45900</v>
      </c>
      <c r="AE76" s="30">
        <f t="shared" ref="AE76:BL76" si="18">EOMONTH(AD76,1)</f>
        <v>45930</v>
      </c>
      <c r="AF76" s="30">
        <f t="shared" si="18"/>
        <v>45961</v>
      </c>
      <c r="AG76" s="30">
        <f t="shared" si="18"/>
        <v>45991</v>
      </c>
      <c r="AH76" s="30">
        <f t="shared" si="18"/>
        <v>46022</v>
      </c>
      <c r="AI76" s="30">
        <f t="shared" si="18"/>
        <v>46053</v>
      </c>
      <c r="AJ76" s="30">
        <f t="shared" si="18"/>
        <v>46081</v>
      </c>
      <c r="AK76" s="30">
        <f t="shared" si="18"/>
        <v>46112</v>
      </c>
      <c r="AL76" s="30">
        <f t="shared" si="18"/>
        <v>46142</v>
      </c>
      <c r="AM76" s="30">
        <f t="shared" si="18"/>
        <v>46173</v>
      </c>
      <c r="AN76" s="30">
        <f t="shared" si="18"/>
        <v>46203</v>
      </c>
      <c r="AO76" s="30">
        <f t="shared" si="18"/>
        <v>46234</v>
      </c>
      <c r="AP76" s="30">
        <f t="shared" si="18"/>
        <v>46265</v>
      </c>
      <c r="AQ76" s="30">
        <f t="shared" si="18"/>
        <v>46295</v>
      </c>
      <c r="AR76" s="30">
        <f t="shared" si="18"/>
        <v>46326</v>
      </c>
      <c r="AS76" s="30">
        <f t="shared" si="18"/>
        <v>46356</v>
      </c>
      <c r="AT76" s="30">
        <f t="shared" si="18"/>
        <v>46387</v>
      </c>
      <c r="AU76" s="30">
        <f t="shared" si="18"/>
        <v>46418</v>
      </c>
      <c r="AV76" s="30">
        <f t="shared" si="18"/>
        <v>46446</v>
      </c>
      <c r="AW76" s="30">
        <f t="shared" si="18"/>
        <v>46477</v>
      </c>
      <c r="AX76" s="30">
        <f t="shared" si="18"/>
        <v>46507</v>
      </c>
      <c r="AY76" s="30">
        <f t="shared" si="18"/>
        <v>46538</v>
      </c>
      <c r="AZ76" s="30">
        <f t="shared" si="18"/>
        <v>46568</v>
      </c>
      <c r="BA76" s="30">
        <f t="shared" si="18"/>
        <v>46599</v>
      </c>
      <c r="BB76" s="30">
        <f t="shared" si="18"/>
        <v>46630</v>
      </c>
      <c r="BC76" s="30">
        <f t="shared" si="18"/>
        <v>46660</v>
      </c>
      <c r="BD76" s="30">
        <f t="shared" si="18"/>
        <v>46691</v>
      </c>
      <c r="BE76" s="30">
        <f t="shared" si="18"/>
        <v>46721</v>
      </c>
      <c r="BF76" s="30">
        <f t="shared" si="18"/>
        <v>46752</v>
      </c>
      <c r="BG76" s="30">
        <f t="shared" si="18"/>
        <v>46783</v>
      </c>
      <c r="BH76" s="30">
        <f t="shared" si="18"/>
        <v>46812</v>
      </c>
      <c r="BI76" s="30">
        <f t="shared" si="18"/>
        <v>46843</v>
      </c>
      <c r="BJ76" s="30">
        <f t="shared" si="18"/>
        <v>46873</v>
      </c>
      <c r="BK76" s="30">
        <f t="shared" si="18"/>
        <v>46904</v>
      </c>
      <c r="BL76" s="30">
        <f t="shared" si="18"/>
        <v>46934</v>
      </c>
      <c r="BM76" s="30">
        <f t="shared" ref="BM76" si="19">EOMONTH(BL76,1)</f>
        <v>46965</v>
      </c>
    </row>
    <row r="77" spans="1:65" s="1" customFormat="1" ht="10" x14ac:dyDescent="0.15">
      <c r="B77" s="12" t="str">
        <f t="shared" ref="B77:B91" si="20">N40</f>
        <v>Purchase</v>
      </c>
      <c r="E77" s="12">
        <f>-F36</f>
        <v>-200000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</row>
    <row r="78" spans="1:65" s="1" customFormat="1" ht="10" x14ac:dyDescent="0.15">
      <c r="B78" s="12" t="str">
        <f t="shared" si="20"/>
        <v>Property/Land Tax</v>
      </c>
      <c r="E78" s="12">
        <f>-F38</f>
        <v>-2000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1:65" s="1" customFormat="1" ht="10" x14ac:dyDescent="0.15">
      <c r="B79" s="12" t="str">
        <f t="shared" si="20"/>
        <v>Refurbishment costs</v>
      </c>
      <c r="E79" s="12">
        <f>IF(F63=0,-F62,0)</f>
        <v>0</v>
      </c>
      <c r="F79" s="12">
        <f>-IF(COUNT($F$76:F76)&gt;$F$63,0,$F$62/$F$63)</f>
        <v>0</v>
      </c>
      <c r="G79" s="12">
        <f>-IF(COUNT($F$76:G76)&gt;$F$63,0,$F$62/$F$63)</f>
        <v>0</v>
      </c>
      <c r="H79" s="12">
        <f>-IF(COUNT($F$76:H76)&gt;$F$63,0,$F$62/$F$63)</f>
        <v>0</v>
      </c>
      <c r="I79" s="12">
        <f>-IF(COUNT($F$76:I76)&gt;$F$63,0,$F$62/$F$63)</f>
        <v>0</v>
      </c>
      <c r="J79" s="12">
        <f>-IF(COUNT($F$76:J76)&gt;$F$63,0,$F$62/$F$63)</f>
        <v>0</v>
      </c>
      <c r="K79" s="12">
        <f>-IF(COUNT($F$76:K76)&gt;$F$63,0,$F$62/$F$63)</f>
        <v>0</v>
      </c>
      <c r="L79" s="12">
        <f>-IF(COUNT($F$76:L76)&gt;$F$63,0,$F$62/$F$63)</f>
        <v>0</v>
      </c>
      <c r="M79" s="12">
        <f>-IF(COUNT($F$76:M76)&gt;$F$63,0,$F$62/$F$63)</f>
        <v>0</v>
      </c>
      <c r="N79" s="12">
        <f>-IF(COUNT($F$76:N76)&gt;$F$63,0,$F$62/$F$63)</f>
        <v>0</v>
      </c>
      <c r="O79" s="12">
        <f>-IF(COUNT($F$76:O76)&gt;$F$63,0,$F$62/$F$63)</f>
        <v>0</v>
      </c>
      <c r="P79" s="12">
        <f>-IF(COUNT($F$76:P76)&gt;$F$63,0,$F$62/$F$63)</f>
        <v>0</v>
      </c>
      <c r="Q79" s="12">
        <f>-IF(COUNT($F$76:Q76)&gt;$F$63,0,$F$62/$F$63)</f>
        <v>0</v>
      </c>
      <c r="R79" s="12">
        <f>-IF(COUNT($F$76:R76)&gt;$F$63,0,$F$62/$F$63)</f>
        <v>0</v>
      </c>
      <c r="S79" s="12">
        <f>-IF(COUNT($F$76:S76)&gt;$F$63,0,$F$62/$F$63)</f>
        <v>0</v>
      </c>
      <c r="T79" s="12">
        <f>-IF(COUNT($F$76:T76)&gt;$F$63,0,$F$62/$F$63)</f>
        <v>0</v>
      </c>
      <c r="U79" s="12">
        <f>-IF(COUNT($F$76:U76)&gt;$F$63,0,$F$62/$F$63)</f>
        <v>0</v>
      </c>
      <c r="V79" s="12">
        <f>-IF(COUNT($F$76:V76)&gt;$F$63,0,$F$62/$F$63)</f>
        <v>0</v>
      </c>
      <c r="W79" s="12">
        <f>-IF(COUNT($F$76:W76)&gt;$F$63,0,$F$62/$F$63)</f>
        <v>0</v>
      </c>
      <c r="X79" s="12">
        <f>-IF(COUNT($F$76:X76)&gt;$F$63,0,$F$62/$F$63)</f>
        <v>0</v>
      </c>
      <c r="Y79" s="12">
        <f>-IF(COUNT($F$76:Y76)&gt;$F$63,0,$F$62/$F$63)</f>
        <v>0</v>
      </c>
      <c r="Z79" s="12">
        <f>-IF(COUNT($F$76:Z76)&gt;$F$63,0,$F$62/$F$63)</f>
        <v>0</v>
      </c>
      <c r="AA79" s="12">
        <f>-IF(COUNT($F$76:AA76)&gt;$F$63,0,$F$62/$F$63)</f>
        <v>0</v>
      </c>
      <c r="AB79" s="12">
        <f>-IF(COUNT($F$76:AB76)&gt;$F$63,0,$F$62/$F$63)</f>
        <v>0</v>
      </c>
      <c r="AC79" s="12">
        <f>-IF(COUNT($F$76:AC76)&gt;$F$63,0,$F$62/$F$63)</f>
        <v>0</v>
      </c>
      <c r="AD79" s="12">
        <f>-IF(COUNT($F$76:AD76)&gt;$F$63,0,$F$62/$F$63)</f>
        <v>0</v>
      </c>
      <c r="AE79" s="12">
        <f>-IF(COUNT($F$76:AE76)&gt;$F$63,0,$F$62/$F$63)</f>
        <v>0</v>
      </c>
      <c r="AF79" s="12">
        <f>-IF(COUNT($F$76:AF76)&gt;$F$63,0,$F$62/$F$63)</f>
        <v>0</v>
      </c>
      <c r="AG79" s="12">
        <f>-IF(COUNT($F$76:AG76)&gt;$F$63,0,$F$62/$F$63)</f>
        <v>0</v>
      </c>
      <c r="AH79" s="12">
        <f>-IF(COUNT($F$76:AH76)&gt;$F$63,0,$F$62/$F$63)</f>
        <v>0</v>
      </c>
      <c r="AI79" s="12">
        <f>-IF(COUNT($F$76:AI76)&gt;$F$63,0,$F$62/$F$63)</f>
        <v>0</v>
      </c>
      <c r="AJ79" s="12">
        <f>-IF(COUNT($F$76:AJ76)&gt;$F$63,0,$F$62/$F$63)</f>
        <v>0</v>
      </c>
      <c r="AK79" s="12">
        <f>-IF(COUNT($F$76:AK76)&gt;$F$63,0,$F$62/$F$63)</f>
        <v>0</v>
      </c>
      <c r="AL79" s="12">
        <f>-IF(COUNT($F$76:AL76)&gt;$F$63,0,$F$62/$F$63)</f>
        <v>0</v>
      </c>
      <c r="AM79" s="12">
        <f>-IF(COUNT($F$76:AM76)&gt;$F$63,0,$F$62/$F$63)</f>
        <v>0</v>
      </c>
      <c r="AN79" s="12">
        <f>-IF(COUNT($F$76:AN76)&gt;$F$63,0,$F$62/$F$63)</f>
        <v>0</v>
      </c>
      <c r="AO79" s="12">
        <f>-IF(COUNT($F$76:AO76)&gt;$F$63,0,$F$62/$F$63)</f>
        <v>0</v>
      </c>
      <c r="AP79" s="12">
        <f>-IF(COUNT($F$76:AP76)&gt;$F$63,0,$F$62/$F$63)</f>
        <v>0</v>
      </c>
      <c r="AQ79" s="12">
        <f>-IF(COUNT($F$76:AQ76)&gt;$F$63,0,$F$62/$F$63)</f>
        <v>0</v>
      </c>
      <c r="AR79" s="12">
        <f>-IF(COUNT($F$76:AR76)&gt;$F$63,0,$F$62/$F$63)</f>
        <v>0</v>
      </c>
      <c r="AS79" s="12">
        <f>-IF(COUNT($F$76:AS76)&gt;$F$63,0,$F$62/$F$63)</f>
        <v>0</v>
      </c>
      <c r="AT79" s="12">
        <f>-IF(COUNT($F$76:AT76)&gt;$F$63,0,$F$62/$F$63)</f>
        <v>0</v>
      </c>
      <c r="AU79" s="12">
        <f>-IF(COUNT($F$76:AU76)&gt;$F$63,0,$F$62/$F$63)</f>
        <v>0</v>
      </c>
      <c r="AV79" s="12">
        <f>-IF(COUNT($F$76:AV76)&gt;$F$63,0,$F$62/$F$63)</f>
        <v>0</v>
      </c>
      <c r="AW79" s="12">
        <f>-IF(COUNT($F$76:AW76)&gt;$F$63,0,$F$62/$F$63)</f>
        <v>0</v>
      </c>
      <c r="AX79" s="12">
        <f>-IF(COUNT($F$76:AX76)&gt;$F$63,0,$F$62/$F$63)</f>
        <v>0</v>
      </c>
      <c r="AY79" s="12">
        <f>-IF(COUNT($F$76:AY76)&gt;$F$63,0,$F$62/$F$63)</f>
        <v>0</v>
      </c>
      <c r="AZ79" s="12">
        <f>-IF(COUNT($F$76:AZ76)&gt;$F$63,0,$F$62/$F$63)</f>
        <v>0</v>
      </c>
      <c r="BA79" s="12">
        <f>-IF(COUNT($F$76:BA76)&gt;$F$63,0,$F$62/$F$63)</f>
        <v>0</v>
      </c>
      <c r="BB79" s="12">
        <f>-IF(COUNT($F$76:BB76)&gt;$F$63,0,$F$62/$F$63)</f>
        <v>0</v>
      </c>
      <c r="BC79" s="12">
        <f>-IF(COUNT($F$76:BC76)&gt;$F$63,0,$F$62/$F$63)</f>
        <v>0</v>
      </c>
      <c r="BD79" s="12">
        <f>-IF(COUNT($F$76:BD76)&gt;$F$63,0,$F$62/$F$63)</f>
        <v>0</v>
      </c>
      <c r="BE79" s="12">
        <f>-IF(COUNT($F$76:BE76)&gt;$F$63,0,$F$62/$F$63)</f>
        <v>0</v>
      </c>
      <c r="BF79" s="12">
        <f>-IF(COUNT($F$76:BF76)&gt;$F$63,0,$F$62/$F$63)</f>
        <v>0</v>
      </c>
      <c r="BG79" s="12">
        <f>-IF(COUNT($F$76:BG76)&gt;$F$63,0,$F$62/$F$63)</f>
        <v>0</v>
      </c>
      <c r="BH79" s="12">
        <f>-IF(COUNT($F$76:BH76)&gt;$F$63,0,$F$62/$F$63)</f>
        <v>0</v>
      </c>
      <c r="BI79" s="12">
        <f>-IF(COUNT($F$76:BI76)&gt;$F$63,0,$F$62/$F$63)</f>
        <v>0</v>
      </c>
      <c r="BJ79" s="12">
        <f>-IF(COUNT($F$76:BJ76)&gt;$F$63,0,$F$62/$F$63)</f>
        <v>0</v>
      </c>
      <c r="BK79" s="12">
        <f>-IF(COUNT($F$76:BK76)&gt;$F$63,0,$F$62/$F$63)</f>
        <v>0</v>
      </c>
      <c r="BL79" s="12">
        <f>-IF(COUNT($F$76:BL76)&gt;$F$63,0,$F$62/$F$63)</f>
        <v>0</v>
      </c>
      <c r="BM79" s="12">
        <f>-IF(COUNT($F$76:BM76)&gt;$F$63,0,$F$62/$F$63)</f>
        <v>0</v>
      </c>
    </row>
    <row r="80" spans="1:65" s="1" customFormat="1" ht="10" x14ac:dyDescent="0.15">
      <c r="B80" s="12" t="str">
        <f t="shared" si="20"/>
        <v>Purchase fees (Costs 1.4 to 1.11)</v>
      </c>
      <c r="E80" s="12">
        <f>-SUM(F39:F46)</f>
        <v>-1999</v>
      </c>
    </row>
    <row r="81" spans="2:65" s="1" customFormat="1" ht="10" x14ac:dyDescent="0.15">
      <c r="B81" s="12" t="str">
        <f t="shared" si="20"/>
        <v>Valuation fee</v>
      </c>
      <c r="E81" s="12">
        <f>-F44</f>
        <v>0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</row>
    <row r="82" spans="2:65" s="1" customFormat="1" ht="10" x14ac:dyDescent="0.15">
      <c r="B82" s="12" t="str">
        <f t="shared" si="20"/>
        <v>Rent</v>
      </c>
      <c r="E82" s="12">
        <f>IF(COUNT(E$76:$F76)&gt;=$L$36,$K$37,0)*IF(E75&gt;$K$68,0,1)*(1+$L$47)^(-1+E74)</f>
        <v>0</v>
      </c>
      <c r="F82" s="12">
        <f>IF(COUNT($F$76:F76)&gt;=$L$36,$K$37,0)*IF(F75&gt;$K$68,0,1)*(1+$L$47)^(-1+F74)</f>
        <v>0</v>
      </c>
      <c r="G82" s="12">
        <f>IF(COUNT($F$76:G76)&gt;=$L$36,$K$37,0)*IF(G75&gt;$K$68,0,1)*(1+$L$47)^(-1+G74)</f>
        <v>0</v>
      </c>
      <c r="H82" s="12">
        <f>IF(COUNT($F$76:H76)&gt;=$L$36,$K$37,0)*IF(H75&gt;$K$68,0,1)*(1+$L$47)^(-1+H74)</f>
        <v>0</v>
      </c>
      <c r="I82" s="12">
        <f>IF(COUNT($F$76:I76)&gt;=$L$36,$K$37,0)*IF(I75&gt;$K$68,0,1)*(1+$L$47)^(-1+I74)</f>
        <v>0</v>
      </c>
      <c r="J82" s="12">
        <f>IF(COUNT($F$76:J76)&gt;=$L$36,$K$37,0)*IF(J75&gt;$K$68,0,1)*(1+$L$47)^(-1+J74)</f>
        <v>0</v>
      </c>
      <c r="K82" s="12">
        <f>IF(COUNT($F$76:K76)&gt;=$L$36,$K$37,0)*IF(K75&gt;$K$68,0,1)*(1+$L$47)^(-1+K74)</f>
        <v>0</v>
      </c>
      <c r="L82" s="12">
        <f>IF(COUNT($F$76:L76)&gt;=$L$36,$K$37,0)*IF(L75&gt;$K$68,0,1)*(1+$L$47)^(-1+L74)</f>
        <v>0</v>
      </c>
      <c r="M82" s="12">
        <f>IF(COUNT($F$76:M76)&gt;=$L$36,$K$37,0)*IF(M75&gt;$K$68,0,1)*(1+$L$47)^(-1+M74)</f>
        <v>0</v>
      </c>
      <c r="N82" s="12">
        <f>IF(COUNT($F$76:N76)&gt;=$L$36,$K$37,0)*IF(N75&gt;$K$68,0,1)*(1+$L$47)^(-1+N74)</f>
        <v>0</v>
      </c>
      <c r="O82" s="12">
        <f>IF(COUNT($F$76:O76)&gt;=$L$36,$K$37,0)*IF(O75&gt;$K$68,0,1)*(1+$L$47)^(-1+O74)</f>
        <v>0</v>
      </c>
      <c r="P82" s="12">
        <f>IF(COUNT($F$76:P76)&gt;=$L$36,$K$37,0)*IF(P75&gt;$K$68,0,1)*(1+$L$47)^(-1+P74)</f>
        <v>0</v>
      </c>
      <c r="Q82" s="12">
        <f>IF(COUNT($F$76:Q76)&gt;=$L$36,$K$37,0)*IF(Q75&gt;$K$68,0,1)*(1+$L$47)^(-1+Q74)</f>
        <v>0</v>
      </c>
      <c r="R82" s="12">
        <f>IF(COUNT($F$76:R76)&gt;=$L$36,$K$37,0)*IF(R75&gt;$K$68,0,1)*(1+$L$47)^(-1+R74)</f>
        <v>0</v>
      </c>
      <c r="S82" s="12">
        <f>IF(COUNT($F$76:S76)&gt;=$L$36,$K$37,0)*IF(S75&gt;$K$68,0,1)*(1+$L$47)^(-1+S74)</f>
        <v>0</v>
      </c>
      <c r="T82" s="12">
        <f>IF(COUNT($F$76:T76)&gt;=$L$36,$K$37,0)*IF(T75&gt;$K$68,0,1)*(1+$L$47)^(-1+T74)</f>
        <v>0</v>
      </c>
      <c r="U82" s="12">
        <f>IF(COUNT($F$76:U76)&gt;=$L$36,$K$37,0)*IF(U75&gt;$K$68,0,1)*(1+$L$47)^(-1+U74)</f>
        <v>0</v>
      </c>
      <c r="V82" s="12">
        <f>IF(COUNT($F$76:V76)&gt;=$L$36,$K$37,0)*IF(V75&gt;$K$68,0,1)*(1+$L$47)^(-1+V74)</f>
        <v>0</v>
      </c>
      <c r="W82" s="12">
        <f>IF(COUNT($F$76:W76)&gt;=$L$36,$K$37,0)*IF(W75&gt;$K$68,0,1)*(1+$L$47)^(-1+W74)</f>
        <v>0</v>
      </c>
      <c r="X82" s="12">
        <f>IF(COUNT($F$76:X76)&gt;=$L$36,$K$37,0)*IF(X75&gt;$K$68,0,1)*(1+$L$47)^(-1+X74)</f>
        <v>0</v>
      </c>
      <c r="Y82" s="12">
        <f>IF(COUNT($F$76:Y76)&gt;=$L$36,$K$37,0)*IF(Y75&gt;$K$68,0,1)*(1+$L$47)^(-1+Y74)</f>
        <v>0</v>
      </c>
      <c r="Z82" s="12">
        <f>IF(COUNT($F$76:Z76)&gt;=$L$36,$K$37,0)*IF(Z75&gt;$K$68,0,1)*(1+$L$47)^(-1+Z74)</f>
        <v>0</v>
      </c>
      <c r="AA82" s="12">
        <f>IF(COUNT($F$76:AA76)&gt;=$L$36,$K$37,0)*IF(AA75&gt;$K$68,0,1)*(1+$L$47)^(-1+AA74)</f>
        <v>0</v>
      </c>
      <c r="AB82" s="12">
        <f>IF(COUNT($F$76:AB76)&gt;=$L$36,$K$37,0)*IF(AB75&gt;$K$68,0,1)*(1+$L$47)^(-1+AB74)</f>
        <v>0</v>
      </c>
      <c r="AC82" s="12">
        <f>IF(COUNT($F$76:AC76)&gt;=$L$36,$K$37,0)*IF(AC75&gt;$K$68,0,1)*(1+$L$47)^(-1+AC74)</f>
        <v>0</v>
      </c>
      <c r="AD82" s="12">
        <f>IF(COUNT($F$76:AD76)&gt;=$L$36,$K$37,0)*IF(AD75&gt;$K$68,0,1)*(1+$L$47)^(-1+AD74)</f>
        <v>0</v>
      </c>
      <c r="AE82" s="12">
        <f>IF(COUNT($F$76:AE76)&gt;=$L$36,$K$37,0)*IF(AE75&gt;$K$68,0,1)*(1+$L$47)^(-1+AE74)</f>
        <v>0</v>
      </c>
      <c r="AF82" s="12">
        <f>IF(COUNT($F$76:AF76)&gt;=$L$36,$K$37,0)*IF(AF75&gt;$K$68,0,1)*(1+$L$47)^(-1+AF74)</f>
        <v>0</v>
      </c>
      <c r="AG82" s="12">
        <f>IF(COUNT($F$76:AG76)&gt;=$L$36,$K$37,0)*IF(AG75&gt;$K$68,0,1)*(1+$L$47)^(-1+AG74)</f>
        <v>0</v>
      </c>
      <c r="AH82" s="12">
        <f>IF(COUNT($F$76:AH76)&gt;=$L$36,$K$37,0)*IF(AH75&gt;$K$68,0,1)*(1+$L$47)^(-1+AH74)</f>
        <v>0</v>
      </c>
      <c r="AI82" s="12">
        <f>IF(COUNT($F$76:AI76)&gt;=$L$36,$K$37,0)*IF(AI75&gt;$K$68,0,1)*(1+$L$47)^(-1+AI74)</f>
        <v>0</v>
      </c>
      <c r="AJ82" s="12">
        <f>IF(COUNT($F$76:AJ76)&gt;=$L$36,$K$37,0)*IF(AJ75&gt;$K$68,0,1)*(1+$L$47)^(-1+AJ74)</f>
        <v>0</v>
      </c>
      <c r="AK82" s="12">
        <f>IF(COUNT($F$76:AK76)&gt;=$L$36,$K$37,0)*IF(AK75&gt;$K$68,0,1)*(1+$L$47)^(-1+AK74)</f>
        <v>0</v>
      </c>
      <c r="AL82" s="12">
        <f>IF(COUNT($F$76:AL76)&gt;=$L$36,$K$37,0)*IF(AL75&gt;$K$68,0,1)*(1+$L$47)^(-1+AL74)</f>
        <v>0</v>
      </c>
      <c r="AM82" s="12">
        <f>IF(COUNT($F$76:AM76)&gt;=$L$36,$K$37,0)*IF(AM75&gt;$K$68,0,1)*(1+$L$47)^(-1+AM74)</f>
        <v>0</v>
      </c>
      <c r="AN82" s="12">
        <f>IF(COUNT($F$76:AN76)&gt;=$L$36,$K$37,0)*IF(AN75&gt;$K$68,0,1)*(1+$L$47)^(-1+AN74)</f>
        <v>0</v>
      </c>
      <c r="AO82" s="12">
        <f>IF(COUNT($F$76:AO76)&gt;=$L$36,$K$37,0)*IF(AO75&gt;$K$68,0,1)*(1+$L$47)^(-1+AO74)</f>
        <v>0</v>
      </c>
      <c r="AP82" s="12">
        <f>IF(COUNT($F$76:AP76)&gt;=$L$36,$K$37,0)*IF(AP75&gt;$K$68,0,1)*(1+$L$47)^(-1+AP74)</f>
        <v>0</v>
      </c>
      <c r="AQ82" s="12">
        <f>IF(COUNT($F$76:AQ76)&gt;=$L$36,$K$37,0)*IF(AQ75&gt;$K$68,0,1)*(1+$L$47)^(-1+AQ74)</f>
        <v>0</v>
      </c>
      <c r="AR82" s="12">
        <f>IF(COUNT($F$76:AR76)&gt;=$L$36,$K$37,0)*IF(AR75&gt;$K$68,0,1)*(1+$L$47)^(-1+AR74)</f>
        <v>0</v>
      </c>
      <c r="AS82" s="12">
        <f>IF(COUNT($F$76:AS76)&gt;=$L$36,$K$37,0)*IF(AS75&gt;$K$68,0,1)*(1+$L$47)^(-1+AS74)</f>
        <v>0</v>
      </c>
      <c r="AT82" s="12">
        <f>IF(COUNT($F$76:AT76)&gt;=$L$36,$K$37,0)*IF(AT75&gt;$K$68,0,1)*(1+$L$47)^(-1+AT74)</f>
        <v>0</v>
      </c>
      <c r="AU82" s="12">
        <f>IF(COUNT($F$76:AU76)&gt;=$L$36,$K$37,0)*IF(AU75&gt;$K$68,0,1)*(1+$L$47)^(-1+AU74)</f>
        <v>0</v>
      </c>
      <c r="AV82" s="12">
        <f>IF(COUNT($F$76:AV76)&gt;=$L$36,$K$37,0)*IF(AV75&gt;$K$68,0,1)*(1+$L$47)^(-1+AV74)</f>
        <v>0</v>
      </c>
      <c r="AW82" s="12">
        <f>IF(COUNT($F$76:AW76)&gt;=$L$36,$K$37,0)*IF(AW75&gt;$K$68,0,1)*(1+$L$47)^(-1+AW74)</f>
        <v>0</v>
      </c>
      <c r="AX82" s="12">
        <f>IF(COUNT($F$76:AX76)&gt;=$L$36,$K$37,0)*IF(AX75&gt;$K$68,0,1)*(1+$L$47)^(-1+AX74)</f>
        <v>0</v>
      </c>
      <c r="AY82" s="12">
        <f>IF(COUNT($F$76:AY76)&gt;=$L$36,$K$37,0)*IF(AY75&gt;$K$68,0,1)*(1+$L$47)^(-1+AY74)</f>
        <v>0</v>
      </c>
      <c r="AZ82" s="12">
        <f>IF(COUNT($F$76:AZ76)&gt;=$L$36,$K$37,0)*IF(AZ75&gt;$K$68,0,1)*(1+$L$47)^(-1+AZ74)</f>
        <v>0</v>
      </c>
      <c r="BA82" s="12">
        <f>IF(COUNT($F$76:BA76)&gt;=$L$36,$K$37,0)*IF(BA75&gt;$K$68,0,1)*(1+$L$47)^(-1+BA74)</f>
        <v>0</v>
      </c>
      <c r="BB82" s="12">
        <f>IF(COUNT($F$76:BB76)&gt;=$L$36,$K$37,0)*IF(BB75&gt;$K$68,0,1)*(1+$L$47)^(-1+BB74)</f>
        <v>0</v>
      </c>
      <c r="BC82" s="12">
        <f>IF(COUNT($F$76:BC76)&gt;=$L$36,$K$37,0)*IF(BC75&gt;$K$68,0,1)*(1+$L$47)^(-1+BC74)</f>
        <v>0</v>
      </c>
      <c r="BD82" s="12">
        <f>IF(COUNT($F$76:BD76)&gt;=$L$36,$K$37,0)*IF(BD75&gt;$K$68,0,1)*(1+$L$47)^(-1+BD74)</f>
        <v>0</v>
      </c>
      <c r="BE82" s="12">
        <f>IF(COUNT($F$76:BE76)&gt;=$L$36,$K$37,0)*IF(BE75&gt;$K$68,0,1)*(1+$L$47)^(-1+BE74)</f>
        <v>0</v>
      </c>
      <c r="BF82" s="12">
        <f>IF(COUNT($F$76:BF76)&gt;=$L$36,$K$37,0)*IF(BF75&gt;$K$68,0,1)*(1+$L$47)^(-1+BF74)</f>
        <v>0</v>
      </c>
      <c r="BG82" s="12">
        <f>IF(COUNT($F$76:BG76)&gt;=$L$36,$K$37,0)*IF(BG75&gt;$K$68,0,1)*(1+$L$47)^(-1+BG74)</f>
        <v>0</v>
      </c>
      <c r="BH82" s="12">
        <f>IF(COUNT($F$76:BH76)&gt;=$L$36,$K$37,0)*IF(BH75&gt;$K$68,0,1)*(1+$L$47)^(-1+BH74)</f>
        <v>0</v>
      </c>
      <c r="BI82" s="12">
        <f>IF(COUNT($F$76:BI76)&gt;=$L$36,$K$37,0)*IF(BI75&gt;$K$68,0,1)*(1+$L$47)^(-1+BI74)</f>
        <v>0</v>
      </c>
      <c r="BJ82" s="12">
        <f>IF(COUNT($F$76:BJ76)&gt;=$L$36,$K$37,0)*IF(BJ75&gt;$K$68,0,1)*(1+$L$47)^(-1+BJ74)</f>
        <v>0</v>
      </c>
      <c r="BK82" s="12">
        <f>IF(COUNT($F$76:BK76)&gt;=$L$36,$K$37,0)*IF(BK75&gt;$K$68,0,1)*(1+$L$47)^(-1+BK74)</f>
        <v>0</v>
      </c>
      <c r="BL82" s="12">
        <f>IF(COUNT($F$76:BL76)&gt;=$L$36,$K$37,0)*IF(BL75&gt;$K$68,0,1)*(1+$L$47)^(-1+BL74)</f>
        <v>0</v>
      </c>
      <c r="BM82" s="12">
        <f>IF(COUNT($F$76:BM76)&gt;=$L$36,$K$37,0)*IF(BM75&gt;$K$68,0,1)*(1+$L$47)^(-1+BM74)</f>
        <v>0</v>
      </c>
    </row>
    <row r="83" spans="2:65" s="1" customFormat="1" ht="10" x14ac:dyDescent="0.15">
      <c r="B83" s="12" t="str">
        <f t="shared" si="20"/>
        <v>Voids</v>
      </c>
      <c r="E83" s="12">
        <f>-E82*$K$38</f>
        <v>0</v>
      </c>
      <c r="F83" s="12">
        <f t="shared" ref="F83:AK83" si="21">-F82*$K$38*IF(F75&gt;$K$68,0,1)</f>
        <v>0</v>
      </c>
      <c r="G83" s="12">
        <f t="shared" si="21"/>
        <v>0</v>
      </c>
      <c r="H83" s="12">
        <f t="shared" si="21"/>
        <v>0</v>
      </c>
      <c r="I83" s="12">
        <f t="shared" si="21"/>
        <v>0</v>
      </c>
      <c r="J83" s="12">
        <f t="shared" si="21"/>
        <v>0</v>
      </c>
      <c r="K83" s="12">
        <f t="shared" si="21"/>
        <v>0</v>
      </c>
      <c r="L83" s="12">
        <f t="shared" si="21"/>
        <v>0</v>
      </c>
      <c r="M83" s="12">
        <f t="shared" si="21"/>
        <v>0</v>
      </c>
      <c r="N83" s="12">
        <f t="shared" si="21"/>
        <v>0</v>
      </c>
      <c r="O83" s="12">
        <f t="shared" si="21"/>
        <v>0</v>
      </c>
      <c r="P83" s="12">
        <f t="shared" si="21"/>
        <v>0</v>
      </c>
      <c r="Q83" s="12">
        <f t="shared" si="21"/>
        <v>0</v>
      </c>
      <c r="R83" s="12">
        <f t="shared" si="21"/>
        <v>0</v>
      </c>
      <c r="S83" s="12">
        <f t="shared" si="21"/>
        <v>0</v>
      </c>
      <c r="T83" s="12">
        <f t="shared" si="21"/>
        <v>0</v>
      </c>
      <c r="U83" s="12">
        <f t="shared" si="21"/>
        <v>0</v>
      </c>
      <c r="V83" s="12">
        <f t="shared" si="21"/>
        <v>0</v>
      </c>
      <c r="W83" s="12">
        <f t="shared" si="21"/>
        <v>0</v>
      </c>
      <c r="X83" s="12">
        <f t="shared" si="21"/>
        <v>0</v>
      </c>
      <c r="Y83" s="12">
        <f t="shared" si="21"/>
        <v>0</v>
      </c>
      <c r="Z83" s="12">
        <f t="shared" si="21"/>
        <v>0</v>
      </c>
      <c r="AA83" s="12">
        <f t="shared" si="21"/>
        <v>0</v>
      </c>
      <c r="AB83" s="12">
        <f t="shared" si="21"/>
        <v>0</v>
      </c>
      <c r="AC83" s="12">
        <f t="shared" si="21"/>
        <v>0</v>
      </c>
      <c r="AD83" s="12">
        <f t="shared" si="21"/>
        <v>0</v>
      </c>
      <c r="AE83" s="12">
        <f t="shared" si="21"/>
        <v>0</v>
      </c>
      <c r="AF83" s="12">
        <f t="shared" si="21"/>
        <v>0</v>
      </c>
      <c r="AG83" s="12">
        <f t="shared" si="21"/>
        <v>0</v>
      </c>
      <c r="AH83" s="12">
        <f t="shared" si="21"/>
        <v>0</v>
      </c>
      <c r="AI83" s="12">
        <f t="shared" si="21"/>
        <v>0</v>
      </c>
      <c r="AJ83" s="12">
        <f t="shared" si="21"/>
        <v>0</v>
      </c>
      <c r="AK83" s="12">
        <f t="shared" si="21"/>
        <v>0</v>
      </c>
      <c r="AL83" s="12">
        <f t="shared" ref="AL83:BM83" si="22">-AL82*$K$38*IF(AL75&gt;$K$68,0,1)</f>
        <v>0</v>
      </c>
      <c r="AM83" s="12">
        <f t="shared" si="22"/>
        <v>0</v>
      </c>
      <c r="AN83" s="12">
        <f t="shared" si="22"/>
        <v>0</v>
      </c>
      <c r="AO83" s="12">
        <f t="shared" si="22"/>
        <v>0</v>
      </c>
      <c r="AP83" s="12">
        <f t="shared" si="22"/>
        <v>0</v>
      </c>
      <c r="AQ83" s="12">
        <f t="shared" si="22"/>
        <v>0</v>
      </c>
      <c r="AR83" s="12">
        <f t="shared" si="22"/>
        <v>0</v>
      </c>
      <c r="AS83" s="12">
        <f t="shared" si="22"/>
        <v>0</v>
      </c>
      <c r="AT83" s="12">
        <f t="shared" si="22"/>
        <v>0</v>
      </c>
      <c r="AU83" s="12">
        <f t="shared" si="22"/>
        <v>0</v>
      </c>
      <c r="AV83" s="12">
        <f t="shared" si="22"/>
        <v>0</v>
      </c>
      <c r="AW83" s="12">
        <f t="shared" si="22"/>
        <v>0</v>
      </c>
      <c r="AX83" s="12">
        <f t="shared" si="22"/>
        <v>0</v>
      </c>
      <c r="AY83" s="12">
        <f t="shared" si="22"/>
        <v>0</v>
      </c>
      <c r="AZ83" s="12">
        <f t="shared" si="22"/>
        <v>0</v>
      </c>
      <c r="BA83" s="12">
        <f t="shared" si="22"/>
        <v>0</v>
      </c>
      <c r="BB83" s="12">
        <f t="shared" si="22"/>
        <v>0</v>
      </c>
      <c r="BC83" s="12">
        <f t="shared" si="22"/>
        <v>0</v>
      </c>
      <c r="BD83" s="12">
        <f t="shared" si="22"/>
        <v>0</v>
      </c>
      <c r="BE83" s="12">
        <f t="shared" si="22"/>
        <v>0</v>
      </c>
      <c r="BF83" s="12">
        <f t="shared" si="22"/>
        <v>0</v>
      </c>
      <c r="BG83" s="12">
        <f t="shared" si="22"/>
        <v>0</v>
      </c>
      <c r="BH83" s="12">
        <f t="shared" si="22"/>
        <v>0</v>
      </c>
      <c r="BI83" s="12">
        <f t="shared" si="22"/>
        <v>0</v>
      </c>
      <c r="BJ83" s="12">
        <f t="shared" si="22"/>
        <v>0</v>
      </c>
      <c r="BK83" s="12">
        <f t="shared" si="22"/>
        <v>0</v>
      </c>
      <c r="BL83" s="12">
        <f t="shared" si="22"/>
        <v>0</v>
      </c>
      <c r="BM83" s="12">
        <f t="shared" si="22"/>
        <v>0</v>
      </c>
    </row>
    <row r="84" spans="2:65" s="1" customFormat="1" ht="10" x14ac:dyDescent="0.15">
      <c r="B84" s="12" t="str">
        <f t="shared" si="20"/>
        <v>Property Management Fee</v>
      </c>
      <c r="E84" s="12">
        <f t="shared" ref="E84:AJ84" si="23">-(E82+E83)*$K$39*IF(E75&gt;$K$68,0,1)</f>
        <v>0</v>
      </c>
      <c r="F84" s="12">
        <f t="shared" si="23"/>
        <v>0</v>
      </c>
      <c r="G84" s="12">
        <f t="shared" si="23"/>
        <v>0</v>
      </c>
      <c r="H84" s="12">
        <f t="shared" si="23"/>
        <v>0</v>
      </c>
      <c r="I84" s="12">
        <f t="shared" si="23"/>
        <v>0</v>
      </c>
      <c r="J84" s="12">
        <f t="shared" si="23"/>
        <v>0</v>
      </c>
      <c r="K84" s="12">
        <f t="shared" si="23"/>
        <v>0</v>
      </c>
      <c r="L84" s="12">
        <f t="shared" si="23"/>
        <v>0</v>
      </c>
      <c r="M84" s="12">
        <f t="shared" si="23"/>
        <v>0</v>
      </c>
      <c r="N84" s="12">
        <f t="shared" si="23"/>
        <v>0</v>
      </c>
      <c r="O84" s="12">
        <f t="shared" si="23"/>
        <v>0</v>
      </c>
      <c r="P84" s="12">
        <f t="shared" si="23"/>
        <v>0</v>
      </c>
      <c r="Q84" s="12">
        <f t="shared" si="23"/>
        <v>0</v>
      </c>
      <c r="R84" s="12">
        <f t="shared" si="23"/>
        <v>0</v>
      </c>
      <c r="S84" s="12">
        <f t="shared" si="23"/>
        <v>0</v>
      </c>
      <c r="T84" s="12">
        <f t="shared" si="23"/>
        <v>0</v>
      </c>
      <c r="U84" s="12">
        <f t="shared" si="23"/>
        <v>0</v>
      </c>
      <c r="V84" s="12">
        <f t="shared" si="23"/>
        <v>0</v>
      </c>
      <c r="W84" s="12">
        <f t="shared" si="23"/>
        <v>0</v>
      </c>
      <c r="X84" s="12">
        <f t="shared" si="23"/>
        <v>0</v>
      </c>
      <c r="Y84" s="12">
        <f t="shared" si="23"/>
        <v>0</v>
      </c>
      <c r="Z84" s="12">
        <f t="shared" si="23"/>
        <v>0</v>
      </c>
      <c r="AA84" s="12">
        <f t="shared" si="23"/>
        <v>0</v>
      </c>
      <c r="AB84" s="12">
        <f t="shared" si="23"/>
        <v>0</v>
      </c>
      <c r="AC84" s="12">
        <f t="shared" si="23"/>
        <v>0</v>
      </c>
      <c r="AD84" s="12">
        <f t="shared" si="23"/>
        <v>0</v>
      </c>
      <c r="AE84" s="12">
        <f t="shared" si="23"/>
        <v>0</v>
      </c>
      <c r="AF84" s="12">
        <f t="shared" si="23"/>
        <v>0</v>
      </c>
      <c r="AG84" s="12">
        <f t="shared" si="23"/>
        <v>0</v>
      </c>
      <c r="AH84" s="12">
        <f t="shared" si="23"/>
        <v>0</v>
      </c>
      <c r="AI84" s="12">
        <f t="shared" si="23"/>
        <v>0</v>
      </c>
      <c r="AJ84" s="12">
        <f t="shared" si="23"/>
        <v>0</v>
      </c>
      <c r="AK84" s="12">
        <f t="shared" ref="AK84:BM84" si="24">-(AK82+AK83)*$K$39*IF(AK75&gt;$K$68,0,1)</f>
        <v>0</v>
      </c>
      <c r="AL84" s="12">
        <f t="shared" si="24"/>
        <v>0</v>
      </c>
      <c r="AM84" s="12">
        <f t="shared" si="24"/>
        <v>0</v>
      </c>
      <c r="AN84" s="12">
        <f t="shared" si="24"/>
        <v>0</v>
      </c>
      <c r="AO84" s="12">
        <f t="shared" si="24"/>
        <v>0</v>
      </c>
      <c r="AP84" s="12">
        <f t="shared" si="24"/>
        <v>0</v>
      </c>
      <c r="AQ84" s="12">
        <f t="shared" si="24"/>
        <v>0</v>
      </c>
      <c r="AR84" s="12">
        <f t="shared" si="24"/>
        <v>0</v>
      </c>
      <c r="AS84" s="12">
        <f t="shared" si="24"/>
        <v>0</v>
      </c>
      <c r="AT84" s="12">
        <f t="shared" si="24"/>
        <v>0</v>
      </c>
      <c r="AU84" s="12">
        <f t="shared" si="24"/>
        <v>0</v>
      </c>
      <c r="AV84" s="12">
        <f t="shared" si="24"/>
        <v>0</v>
      </c>
      <c r="AW84" s="12">
        <f t="shared" si="24"/>
        <v>0</v>
      </c>
      <c r="AX84" s="12">
        <f t="shared" si="24"/>
        <v>0</v>
      </c>
      <c r="AY84" s="12">
        <f t="shared" si="24"/>
        <v>0</v>
      </c>
      <c r="AZ84" s="12">
        <f t="shared" si="24"/>
        <v>0</v>
      </c>
      <c r="BA84" s="12">
        <f t="shared" si="24"/>
        <v>0</v>
      </c>
      <c r="BB84" s="12">
        <f t="shared" si="24"/>
        <v>0</v>
      </c>
      <c r="BC84" s="12">
        <f t="shared" si="24"/>
        <v>0</v>
      </c>
      <c r="BD84" s="12">
        <f t="shared" si="24"/>
        <v>0</v>
      </c>
      <c r="BE84" s="12">
        <f t="shared" si="24"/>
        <v>0</v>
      </c>
      <c r="BF84" s="12">
        <f t="shared" si="24"/>
        <v>0</v>
      </c>
      <c r="BG84" s="12">
        <f t="shared" si="24"/>
        <v>0</v>
      </c>
      <c r="BH84" s="12">
        <f t="shared" si="24"/>
        <v>0</v>
      </c>
      <c r="BI84" s="12">
        <f t="shared" si="24"/>
        <v>0</v>
      </c>
      <c r="BJ84" s="12">
        <f t="shared" si="24"/>
        <v>0</v>
      </c>
      <c r="BK84" s="12">
        <f t="shared" si="24"/>
        <v>0</v>
      </c>
      <c r="BL84" s="12">
        <f t="shared" si="24"/>
        <v>0</v>
      </c>
      <c r="BM84" s="12">
        <f t="shared" si="24"/>
        <v>0</v>
      </c>
    </row>
    <row r="85" spans="2:65" s="1" customFormat="1" ht="10" x14ac:dyDescent="0.15">
      <c r="B85" s="12" t="str">
        <f t="shared" si="20"/>
        <v>Service charge</v>
      </c>
      <c r="E85" s="12"/>
      <c r="F85" s="12">
        <f t="shared" ref="F85:AK85" si="25">-$K40*IF(F75&gt;$K$68,0,1)*(1+$L$48)^(-1+F74)</f>
        <v>0</v>
      </c>
      <c r="G85" s="12">
        <f t="shared" si="25"/>
        <v>0</v>
      </c>
      <c r="H85" s="12">
        <f t="shared" si="25"/>
        <v>0</v>
      </c>
      <c r="I85" s="12">
        <f t="shared" si="25"/>
        <v>0</v>
      </c>
      <c r="J85" s="12">
        <f t="shared" si="25"/>
        <v>0</v>
      </c>
      <c r="K85" s="12">
        <f t="shared" si="25"/>
        <v>0</v>
      </c>
      <c r="L85" s="12">
        <f t="shared" si="25"/>
        <v>0</v>
      </c>
      <c r="M85" s="12">
        <f t="shared" si="25"/>
        <v>0</v>
      </c>
      <c r="N85" s="12">
        <f t="shared" si="25"/>
        <v>0</v>
      </c>
      <c r="O85" s="12">
        <f t="shared" si="25"/>
        <v>0</v>
      </c>
      <c r="P85" s="12">
        <f t="shared" si="25"/>
        <v>0</v>
      </c>
      <c r="Q85" s="12">
        <f t="shared" si="25"/>
        <v>0</v>
      </c>
      <c r="R85" s="12">
        <f t="shared" si="25"/>
        <v>0</v>
      </c>
      <c r="S85" s="12">
        <f t="shared" si="25"/>
        <v>0</v>
      </c>
      <c r="T85" s="12">
        <f t="shared" si="25"/>
        <v>0</v>
      </c>
      <c r="U85" s="12">
        <f t="shared" si="25"/>
        <v>0</v>
      </c>
      <c r="V85" s="12">
        <f t="shared" si="25"/>
        <v>0</v>
      </c>
      <c r="W85" s="12">
        <f t="shared" si="25"/>
        <v>0</v>
      </c>
      <c r="X85" s="12">
        <f t="shared" si="25"/>
        <v>0</v>
      </c>
      <c r="Y85" s="12">
        <f t="shared" si="25"/>
        <v>0</v>
      </c>
      <c r="Z85" s="12">
        <f t="shared" si="25"/>
        <v>0</v>
      </c>
      <c r="AA85" s="12">
        <f t="shared" si="25"/>
        <v>0</v>
      </c>
      <c r="AB85" s="12">
        <f t="shared" si="25"/>
        <v>0</v>
      </c>
      <c r="AC85" s="12">
        <f t="shared" si="25"/>
        <v>0</v>
      </c>
      <c r="AD85" s="12">
        <f t="shared" si="25"/>
        <v>0</v>
      </c>
      <c r="AE85" s="12">
        <f t="shared" si="25"/>
        <v>0</v>
      </c>
      <c r="AF85" s="12">
        <f t="shared" si="25"/>
        <v>0</v>
      </c>
      <c r="AG85" s="12">
        <f t="shared" si="25"/>
        <v>0</v>
      </c>
      <c r="AH85" s="12">
        <f t="shared" si="25"/>
        <v>0</v>
      </c>
      <c r="AI85" s="12">
        <f t="shared" si="25"/>
        <v>0</v>
      </c>
      <c r="AJ85" s="12">
        <f t="shared" si="25"/>
        <v>0</v>
      </c>
      <c r="AK85" s="12">
        <f t="shared" si="25"/>
        <v>0</v>
      </c>
      <c r="AL85" s="12">
        <f t="shared" ref="AL85:BM85" si="26">-$K40*IF(AL75&gt;$K$68,0,1)*(1+$L$48)^(-1+AL74)</f>
        <v>0</v>
      </c>
      <c r="AM85" s="12">
        <f t="shared" si="26"/>
        <v>0</v>
      </c>
      <c r="AN85" s="12">
        <f t="shared" si="26"/>
        <v>0</v>
      </c>
      <c r="AO85" s="12">
        <f t="shared" si="26"/>
        <v>0</v>
      </c>
      <c r="AP85" s="12">
        <f t="shared" si="26"/>
        <v>0</v>
      </c>
      <c r="AQ85" s="12">
        <f t="shared" si="26"/>
        <v>0</v>
      </c>
      <c r="AR85" s="12">
        <f t="shared" si="26"/>
        <v>0</v>
      </c>
      <c r="AS85" s="12">
        <f t="shared" si="26"/>
        <v>0</v>
      </c>
      <c r="AT85" s="12">
        <f t="shared" si="26"/>
        <v>0</v>
      </c>
      <c r="AU85" s="12">
        <f t="shared" si="26"/>
        <v>0</v>
      </c>
      <c r="AV85" s="12">
        <f t="shared" si="26"/>
        <v>0</v>
      </c>
      <c r="AW85" s="12">
        <f t="shared" si="26"/>
        <v>0</v>
      </c>
      <c r="AX85" s="12">
        <f t="shared" si="26"/>
        <v>0</v>
      </c>
      <c r="AY85" s="12">
        <f t="shared" si="26"/>
        <v>0</v>
      </c>
      <c r="AZ85" s="12">
        <f t="shared" si="26"/>
        <v>0</v>
      </c>
      <c r="BA85" s="12">
        <f t="shared" si="26"/>
        <v>0</v>
      </c>
      <c r="BB85" s="12">
        <f t="shared" si="26"/>
        <v>0</v>
      </c>
      <c r="BC85" s="12">
        <f t="shared" si="26"/>
        <v>0</v>
      </c>
      <c r="BD85" s="12">
        <f t="shared" si="26"/>
        <v>0</v>
      </c>
      <c r="BE85" s="12">
        <f t="shared" si="26"/>
        <v>0</v>
      </c>
      <c r="BF85" s="12">
        <f t="shared" si="26"/>
        <v>0</v>
      </c>
      <c r="BG85" s="12">
        <f t="shared" si="26"/>
        <v>0</v>
      </c>
      <c r="BH85" s="12">
        <f t="shared" si="26"/>
        <v>0</v>
      </c>
      <c r="BI85" s="12">
        <f t="shared" si="26"/>
        <v>0</v>
      </c>
      <c r="BJ85" s="12">
        <f t="shared" si="26"/>
        <v>0</v>
      </c>
      <c r="BK85" s="12">
        <f t="shared" si="26"/>
        <v>0</v>
      </c>
      <c r="BL85" s="12">
        <f t="shared" si="26"/>
        <v>0</v>
      </c>
      <c r="BM85" s="12">
        <f t="shared" si="26"/>
        <v>0</v>
      </c>
    </row>
    <row r="86" spans="2:65" s="1" customFormat="1" ht="10" x14ac:dyDescent="0.15">
      <c r="B86" s="12" t="str">
        <f t="shared" si="20"/>
        <v>Ground rent</v>
      </c>
      <c r="E86" s="12"/>
      <c r="F86" s="12">
        <f t="shared" ref="F86:AK86" si="27">-$K41*IF(F75&gt;$K$68,0,1)*(1+$L$48)^(-1+F74)</f>
        <v>0</v>
      </c>
      <c r="G86" s="12">
        <f t="shared" si="27"/>
        <v>0</v>
      </c>
      <c r="H86" s="12">
        <f t="shared" si="27"/>
        <v>0</v>
      </c>
      <c r="I86" s="12">
        <f t="shared" si="27"/>
        <v>0</v>
      </c>
      <c r="J86" s="12">
        <f t="shared" si="27"/>
        <v>0</v>
      </c>
      <c r="K86" s="12">
        <f t="shared" si="27"/>
        <v>0</v>
      </c>
      <c r="L86" s="12">
        <f t="shared" si="27"/>
        <v>0</v>
      </c>
      <c r="M86" s="12">
        <f t="shared" si="27"/>
        <v>0</v>
      </c>
      <c r="N86" s="12">
        <f t="shared" si="27"/>
        <v>0</v>
      </c>
      <c r="O86" s="12">
        <f t="shared" si="27"/>
        <v>0</v>
      </c>
      <c r="P86" s="12">
        <f t="shared" si="27"/>
        <v>0</v>
      </c>
      <c r="Q86" s="12">
        <f t="shared" si="27"/>
        <v>0</v>
      </c>
      <c r="R86" s="12">
        <f t="shared" si="27"/>
        <v>0</v>
      </c>
      <c r="S86" s="12">
        <f t="shared" si="27"/>
        <v>0</v>
      </c>
      <c r="T86" s="12">
        <f t="shared" si="27"/>
        <v>0</v>
      </c>
      <c r="U86" s="12">
        <f t="shared" si="27"/>
        <v>0</v>
      </c>
      <c r="V86" s="12">
        <f t="shared" si="27"/>
        <v>0</v>
      </c>
      <c r="W86" s="12">
        <f t="shared" si="27"/>
        <v>0</v>
      </c>
      <c r="X86" s="12">
        <f t="shared" si="27"/>
        <v>0</v>
      </c>
      <c r="Y86" s="12">
        <f t="shared" si="27"/>
        <v>0</v>
      </c>
      <c r="Z86" s="12">
        <f t="shared" si="27"/>
        <v>0</v>
      </c>
      <c r="AA86" s="12">
        <f t="shared" si="27"/>
        <v>0</v>
      </c>
      <c r="AB86" s="12">
        <f t="shared" si="27"/>
        <v>0</v>
      </c>
      <c r="AC86" s="12">
        <f t="shared" si="27"/>
        <v>0</v>
      </c>
      <c r="AD86" s="12">
        <f t="shared" si="27"/>
        <v>0</v>
      </c>
      <c r="AE86" s="12">
        <f t="shared" si="27"/>
        <v>0</v>
      </c>
      <c r="AF86" s="12">
        <f t="shared" si="27"/>
        <v>0</v>
      </c>
      <c r="AG86" s="12">
        <f t="shared" si="27"/>
        <v>0</v>
      </c>
      <c r="AH86" s="12">
        <f t="shared" si="27"/>
        <v>0</v>
      </c>
      <c r="AI86" s="12">
        <f t="shared" si="27"/>
        <v>0</v>
      </c>
      <c r="AJ86" s="12">
        <f t="shared" si="27"/>
        <v>0</v>
      </c>
      <c r="AK86" s="12">
        <f t="shared" si="27"/>
        <v>0</v>
      </c>
      <c r="AL86" s="12">
        <f t="shared" ref="AL86:BM86" si="28">-$K41*IF(AL75&gt;$K$68,0,1)*(1+$L$48)^(-1+AL74)</f>
        <v>0</v>
      </c>
      <c r="AM86" s="12">
        <f t="shared" si="28"/>
        <v>0</v>
      </c>
      <c r="AN86" s="12">
        <f t="shared" si="28"/>
        <v>0</v>
      </c>
      <c r="AO86" s="12">
        <f t="shared" si="28"/>
        <v>0</v>
      </c>
      <c r="AP86" s="12">
        <f t="shared" si="28"/>
        <v>0</v>
      </c>
      <c r="AQ86" s="12">
        <f t="shared" si="28"/>
        <v>0</v>
      </c>
      <c r="AR86" s="12">
        <f t="shared" si="28"/>
        <v>0</v>
      </c>
      <c r="AS86" s="12">
        <f t="shared" si="28"/>
        <v>0</v>
      </c>
      <c r="AT86" s="12">
        <f t="shared" si="28"/>
        <v>0</v>
      </c>
      <c r="AU86" s="12">
        <f t="shared" si="28"/>
        <v>0</v>
      </c>
      <c r="AV86" s="12">
        <f t="shared" si="28"/>
        <v>0</v>
      </c>
      <c r="AW86" s="12">
        <f t="shared" si="28"/>
        <v>0</v>
      </c>
      <c r="AX86" s="12">
        <f t="shared" si="28"/>
        <v>0</v>
      </c>
      <c r="AY86" s="12">
        <f t="shared" si="28"/>
        <v>0</v>
      </c>
      <c r="AZ86" s="12">
        <f t="shared" si="28"/>
        <v>0</v>
      </c>
      <c r="BA86" s="12">
        <f t="shared" si="28"/>
        <v>0</v>
      </c>
      <c r="BB86" s="12">
        <f t="shared" si="28"/>
        <v>0</v>
      </c>
      <c r="BC86" s="12">
        <f t="shared" si="28"/>
        <v>0</v>
      </c>
      <c r="BD86" s="12">
        <f t="shared" si="28"/>
        <v>0</v>
      </c>
      <c r="BE86" s="12">
        <f t="shared" si="28"/>
        <v>0</v>
      </c>
      <c r="BF86" s="12">
        <f t="shared" si="28"/>
        <v>0</v>
      </c>
      <c r="BG86" s="12">
        <f t="shared" si="28"/>
        <v>0</v>
      </c>
      <c r="BH86" s="12">
        <f t="shared" si="28"/>
        <v>0</v>
      </c>
      <c r="BI86" s="12">
        <f t="shared" si="28"/>
        <v>0</v>
      </c>
      <c r="BJ86" s="12">
        <f t="shared" si="28"/>
        <v>0</v>
      </c>
      <c r="BK86" s="12">
        <f t="shared" si="28"/>
        <v>0</v>
      </c>
      <c r="BL86" s="12">
        <f t="shared" si="28"/>
        <v>0</v>
      </c>
      <c r="BM86" s="12">
        <f t="shared" si="28"/>
        <v>0</v>
      </c>
    </row>
    <row r="87" spans="2:65" s="1" customFormat="1" ht="10" x14ac:dyDescent="0.15">
      <c r="B87" s="12" t="str">
        <f t="shared" si="20"/>
        <v>Insurance</v>
      </c>
      <c r="F87" s="12">
        <f t="shared" ref="F87:AK87" si="29">-$K42*IF(F75&gt;$K$68,0,1)*(1+$L$48)^(-1+F74)</f>
        <v>0</v>
      </c>
      <c r="G87" s="12">
        <f t="shared" si="29"/>
        <v>0</v>
      </c>
      <c r="H87" s="12">
        <f t="shared" si="29"/>
        <v>0</v>
      </c>
      <c r="I87" s="12">
        <f t="shared" si="29"/>
        <v>0</v>
      </c>
      <c r="J87" s="12">
        <f t="shared" si="29"/>
        <v>0</v>
      </c>
      <c r="K87" s="12">
        <f t="shared" si="29"/>
        <v>0</v>
      </c>
      <c r="L87" s="12">
        <f t="shared" si="29"/>
        <v>0</v>
      </c>
      <c r="M87" s="12">
        <f t="shared" si="29"/>
        <v>0</v>
      </c>
      <c r="N87" s="12">
        <f t="shared" si="29"/>
        <v>0</v>
      </c>
      <c r="O87" s="12">
        <f t="shared" si="29"/>
        <v>0</v>
      </c>
      <c r="P87" s="12">
        <f t="shared" si="29"/>
        <v>0</v>
      </c>
      <c r="Q87" s="12">
        <f t="shared" si="29"/>
        <v>0</v>
      </c>
      <c r="R87" s="12">
        <f t="shared" si="29"/>
        <v>0</v>
      </c>
      <c r="S87" s="12">
        <f t="shared" si="29"/>
        <v>0</v>
      </c>
      <c r="T87" s="12">
        <f t="shared" si="29"/>
        <v>0</v>
      </c>
      <c r="U87" s="12">
        <f t="shared" si="29"/>
        <v>0</v>
      </c>
      <c r="V87" s="12">
        <f t="shared" si="29"/>
        <v>0</v>
      </c>
      <c r="W87" s="12">
        <f t="shared" si="29"/>
        <v>0</v>
      </c>
      <c r="X87" s="12">
        <f t="shared" si="29"/>
        <v>0</v>
      </c>
      <c r="Y87" s="12">
        <f t="shared" si="29"/>
        <v>0</v>
      </c>
      <c r="Z87" s="12">
        <f t="shared" si="29"/>
        <v>0</v>
      </c>
      <c r="AA87" s="12">
        <f t="shared" si="29"/>
        <v>0</v>
      </c>
      <c r="AB87" s="12">
        <f t="shared" si="29"/>
        <v>0</v>
      </c>
      <c r="AC87" s="12">
        <f t="shared" si="29"/>
        <v>0</v>
      </c>
      <c r="AD87" s="12">
        <f t="shared" si="29"/>
        <v>0</v>
      </c>
      <c r="AE87" s="12">
        <f t="shared" si="29"/>
        <v>0</v>
      </c>
      <c r="AF87" s="12">
        <f t="shared" si="29"/>
        <v>0</v>
      </c>
      <c r="AG87" s="12">
        <f t="shared" si="29"/>
        <v>0</v>
      </c>
      <c r="AH87" s="12">
        <f t="shared" si="29"/>
        <v>0</v>
      </c>
      <c r="AI87" s="12">
        <f t="shared" si="29"/>
        <v>0</v>
      </c>
      <c r="AJ87" s="12">
        <f t="shared" si="29"/>
        <v>0</v>
      </c>
      <c r="AK87" s="12">
        <f t="shared" si="29"/>
        <v>0</v>
      </c>
      <c r="AL87" s="12">
        <f t="shared" ref="AL87:BM87" si="30">-$K42*IF(AL75&gt;$K$68,0,1)*(1+$L$48)^(-1+AL74)</f>
        <v>0</v>
      </c>
      <c r="AM87" s="12">
        <f t="shared" si="30"/>
        <v>0</v>
      </c>
      <c r="AN87" s="12">
        <f t="shared" si="30"/>
        <v>0</v>
      </c>
      <c r="AO87" s="12">
        <f t="shared" si="30"/>
        <v>0</v>
      </c>
      <c r="AP87" s="12">
        <f t="shared" si="30"/>
        <v>0</v>
      </c>
      <c r="AQ87" s="12">
        <f t="shared" si="30"/>
        <v>0</v>
      </c>
      <c r="AR87" s="12">
        <f t="shared" si="30"/>
        <v>0</v>
      </c>
      <c r="AS87" s="12">
        <f t="shared" si="30"/>
        <v>0</v>
      </c>
      <c r="AT87" s="12">
        <f t="shared" si="30"/>
        <v>0</v>
      </c>
      <c r="AU87" s="12">
        <f t="shared" si="30"/>
        <v>0</v>
      </c>
      <c r="AV87" s="12">
        <f t="shared" si="30"/>
        <v>0</v>
      </c>
      <c r="AW87" s="12">
        <f t="shared" si="30"/>
        <v>0</v>
      </c>
      <c r="AX87" s="12">
        <f t="shared" si="30"/>
        <v>0</v>
      </c>
      <c r="AY87" s="12">
        <f t="shared" si="30"/>
        <v>0</v>
      </c>
      <c r="AZ87" s="12">
        <f t="shared" si="30"/>
        <v>0</v>
      </c>
      <c r="BA87" s="12">
        <f t="shared" si="30"/>
        <v>0</v>
      </c>
      <c r="BB87" s="12">
        <f t="shared" si="30"/>
        <v>0</v>
      </c>
      <c r="BC87" s="12">
        <f t="shared" si="30"/>
        <v>0</v>
      </c>
      <c r="BD87" s="12">
        <f t="shared" si="30"/>
        <v>0</v>
      </c>
      <c r="BE87" s="12">
        <f t="shared" si="30"/>
        <v>0</v>
      </c>
      <c r="BF87" s="12">
        <f t="shared" si="30"/>
        <v>0</v>
      </c>
      <c r="BG87" s="12">
        <f t="shared" si="30"/>
        <v>0</v>
      </c>
      <c r="BH87" s="12">
        <f t="shared" si="30"/>
        <v>0</v>
      </c>
      <c r="BI87" s="12">
        <f t="shared" si="30"/>
        <v>0</v>
      </c>
      <c r="BJ87" s="12">
        <f t="shared" si="30"/>
        <v>0</v>
      </c>
      <c r="BK87" s="12">
        <f t="shared" si="30"/>
        <v>0</v>
      </c>
      <c r="BL87" s="12">
        <f t="shared" si="30"/>
        <v>0</v>
      </c>
      <c r="BM87" s="12">
        <f t="shared" si="30"/>
        <v>0</v>
      </c>
    </row>
    <row r="88" spans="2:65" s="1" customFormat="1" ht="10" x14ac:dyDescent="0.15">
      <c r="B88" s="12" t="str">
        <f t="shared" si="20"/>
        <v>Council tax</v>
      </c>
      <c r="E88" s="12"/>
      <c r="F88" s="12">
        <f t="shared" ref="F88:AK88" si="31">-$K43*IF(F75&gt;$K$68,0,1)*(1+$L$48)^(-1+F74)</f>
        <v>0</v>
      </c>
      <c r="G88" s="12">
        <f t="shared" si="31"/>
        <v>0</v>
      </c>
      <c r="H88" s="12">
        <f t="shared" si="31"/>
        <v>0</v>
      </c>
      <c r="I88" s="12">
        <f t="shared" si="31"/>
        <v>0</v>
      </c>
      <c r="J88" s="12">
        <f t="shared" si="31"/>
        <v>0</v>
      </c>
      <c r="K88" s="12">
        <f t="shared" si="31"/>
        <v>0</v>
      </c>
      <c r="L88" s="12">
        <f t="shared" si="31"/>
        <v>0</v>
      </c>
      <c r="M88" s="12">
        <f t="shared" si="31"/>
        <v>0</v>
      </c>
      <c r="N88" s="12">
        <f t="shared" si="31"/>
        <v>0</v>
      </c>
      <c r="O88" s="12">
        <f t="shared" si="31"/>
        <v>0</v>
      </c>
      <c r="P88" s="12">
        <f t="shared" si="31"/>
        <v>0</v>
      </c>
      <c r="Q88" s="12">
        <f t="shared" si="31"/>
        <v>0</v>
      </c>
      <c r="R88" s="12">
        <f t="shared" si="31"/>
        <v>0</v>
      </c>
      <c r="S88" s="12">
        <f t="shared" si="31"/>
        <v>0</v>
      </c>
      <c r="T88" s="12">
        <f t="shared" si="31"/>
        <v>0</v>
      </c>
      <c r="U88" s="12">
        <f t="shared" si="31"/>
        <v>0</v>
      </c>
      <c r="V88" s="12">
        <f t="shared" si="31"/>
        <v>0</v>
      </c>
      <c r="W88" s="12">
        <f t="shared" si="31"/>
        <v>0</v>
      </c>
      <c r="X88" s="12">
        <f t="shared" si="31"/>
        <v>0</v>
      </c>
      <c r="Y88" s="12">
        <f t="shared" si="31"/>
        <v>0</v>
      </c>
      <c r="Z88" s="12">
        <f t="shared" si="31"/>
        <v>0</v>
      </c>
      <c r="AA88" s="12">
        <f t="shared" si="31"/>
        <v>0</v>
      </c>
      <c r="AB88" s="12">
        <f t="shared" si="31"/>
        <v>0</v>
      </c>
      <c r="AC88" s="12">
        <f t="shared" si="31"/>
        <v>0</v>
      </c>
      <c r="AD88" s="12">
        <f t="shared" si="31"/>
        <v>0</v>
      </c>
      <c r="AE88" s="12">
        <f t="shared" si="31"/>
        <v>0</v>
      </c>
      <c r="AF88" s="12">
        <f t="shared" si="31"/>
        <v>0</v>
      </c>
      <c r="AG88" s="12">
        <f t="shared" si="31"/>
        <v>0</v>
      </c>
      <c r="AH88" s="12">
        <f t="shared" si="31"/>
        <v>0</v>
      </c>
      <c r="AI88" s="12">
        <f t="shared" si="31"/>
        <v>0</v>
      </c>
      <c r="AJ88" s="12">
        <f t="shared" si="31"/>
        <v>0</v>
      </c>
      <c r="AK88" s="12">
        <f t="shared" si="31"/>
        <v>0</v>
      </c>
      <c r="AL88" s="12">
        <f t="shared" ref="AL88:BM88" si="32">-$K43*IF(AL75&gt;$K$68,0,1)*(1+$L$48)^(-1+AL74)</f>
        <v>0</v>
      </c>
      <c r="AM88" s="12">
        <f t="shared" si="32"/>
        <v>0</v>
      </c>
      <c r="AN88" s="12">
        <f t="shared" si="32"/>
        <v>0</v>
      </c>
      <c r="AO88" s="12">
        <f t="shared" si="32"/>
        <v>0</v>
      </c>
      <c r="AP88" s="12">
        <f t="shared" si="32"/>
        <v>0</v>
      </c>
      <c r="AQ88" s="12">
        <f t="shared" si="32"/>
        <v>0</v>
      </c>
      <c r="AR88" s="12">
        <f t="shared" si="32"/>
        <v>0</v>
      </c>
      <c r="AS88" s="12">
        <f t="shared" si="32"/>
        <v>0</v>
      </c>
      <c r="AT88" s="12">
        <f t="shared" si="32"/>
        <v>0</v>
      </c>
      <c r="AU88" s="12">
        <f t="shared" si="32"/>
        <v>0</v>
      </c>
      <c r="AV88" s="12">
        <f t="shared" si="32"/>
        <v>0</v>
      </c>
      <c r="AW88" s="12">
        <f t="shared" si="32"/>
        <v>0</v>
      </c>
      <c r="AX88" s="12">
        <f t="shared" si="32"/>
        <v>0</v>
      </c>
      <c r="AY88" s="12">
        <f t="shared" si="32"/>
        <v>0</v>
      </c>
      <c r="AZ88" s="12">
        <f t="shared" si="32"/>
        <v>0</v>
      </c>
      <c r="BA88" s="12">
        <f t="shared" si="32"/>
        <v>0</v>
      </c>
      <c r="BB88" s="12">
        <f t="shared" si="32"/>
        <v>0</v>
      </c>
      <c r="BC88" s="12">
        <f t="shared" si="32"/>
        <v>0</v>
      </c>
      <c r="BD88" s="12">
        <f t="shared" si="32"/>
        <v>0</v>
      </c>
      <c r="BE88" s="12">
        <f t="shared" si="32"/>
        <v>0</v>
      </c>
      <c r="BF88" s="12">
        <f t="shared" si="32"/>
        <v>0</v>
      </c>
      <c r="BG88" s="12">
        <f t="shared" si="32"/>
        <v>0</v>
      </c>
      <c r="BH88" s="12">
        <f t="shared" si="32"/>
        <v>0</v>
      </c>
      <c r="BI88" s="12">
        <f t="shared" si="32"/>
        <v>0</v>
      </c>
      <c r="BJ88" s="12">
        <f t="shared" si="32"/>
        <v>0</v>
      </c>
      <c r="BK88" s="12">
        <f t="shared" si="32"/>
        <v>0</v>
      </c>
      <c r="BL88" s="12">
        <f t="shared" si="32"/>
        <v>0</v>
      </c>
      <c r="BM88" s="12">
        <f t="shared" si="32"/>
        <v>0</v>
      </c>
    </row>
    <row r="89" spans="2:65" s="1" customFormat="1" ht="10" x14ac:dyDescent="0.15">
      <c r="B89" s="12" t="str">
        <f t="shared" si="20"/>
        <v>Other (pcm / p.a.)</v>
      </c>
      <c r="E89" s="12"/>
      <c r="F89" s="12">
        <f>IF(COUNT($F$76:F76)&gt;$F$63,-$K44,0)*IF(F$75&gt;$K$68,0,1)*(1+$L$48)^(-1+F$74)</f>
        <v>0</v>
      </c>
      <c r="G89" s="12">
        <f>IF(COUNT($F$76:G76)&gt;$F$63,-$K44,0)*IF(G$75&gt;$K$68,0,1)*(1+$L$48)^(-1+G$74)</f>
        <v>0</v>
      </c>
      <c r="H89" s="12">
        <f>IF(COUNT($F$76:H76)&gt;$F$63,-$K44,0)*IF(H$75&gt;$K$68,0,1)*(1+$L$48)^(-1+H$74)</f>
        <v>0</v>
      </c>
      <c r="I89" s="12">
        <f>IF(COUNT($F$76:I76)&gt;$F$63,-$K44,0)*IF(I$75&gt;$K$68,0,1)*(1+$L$48)^(-1+I$74)</f>
        <v>0</v>
      </c>
      <c r="J89" s="12">
        <f>IF(COUNT($F$76:J76)&gt;$F$63,-$K44,0)*IF(J$75&gt;$K$68,0,1)*(1+$L$48)^(-1+J$74)</f>
        <v>0</v>
      </c>
      <c r="K89" s="12">
        <f>IF(COUNT($F$76:K76)&gt;$F$63,-$K44,0)*IF(K$75&gt;$K$68,0,1)*(1+$L$48)^(-1+K$74)</f>
        <v>0</v>
      </c>
      <c r="L89" s="12">
        <f>IF(COUNT($F$76:L76)&gt;$F$63,-$K44,0)*IF(L$75&gt;$K$68,0,1)*(1+$L$48)^(-1+L$74)</f>
        <v>0</v>
      </c>
      <c r="M89" s="12">
        <f>IF(COUNT($F$76:M76)&gt;$F$63,-$K44,0)*IF(M$75&gt;$K$68,0,1)*(1+$L$48)^(-1+M$74)</f>
        <v>0</v>
      </c>
      <c r="N89" s="12">
        <f>IF(COUNT($F$76:N76)&gt;$F$63,-$K44,0)*IF(N$75&gt;$K$68,0,1)*(1+$L$48)^(-1+N$74)</f>
        <v>0</v>
      </c>
      <c r="O89" s="12">
        <f>IF(COUNT($F$76:O76)&gt;$F$63,-$K44,0)*IF(O$75&gt;$K$68,0,1)*(1+$L$48)^(-1+O$74)</f>
        <v>0</v>
      </c>
      <c r="P89" s="12">
        <f>IF(COUNT($F$76:P76)&gt;$F$63,-$K44,0)*IF(P$75&gt;$K$68,0,1)*(1+$L$48)^(-1+P$74)</f>
        <v>0</v>
      </c>
      <c r="Q89" s="12">
        <f>IF(COUNT($F$76:Q76)&gt;$F$63,-$K44,0)*IF(Q$75&gt;$K$68,0,1)*(1+$L$48)^(-1+Q$74)</f>
        <v>0</v>
      </c>
      <c r="R89" s="12">
        <f>IF(COUNT($F$76:R76)&gt;$F$63,-$K44,0)*IF(R$75&gt;$K$68,0,1)*(1+$L$48)^(-1+R$74)</f>
        <v>0</v>
      </c>
      <c r="S89" s="12">
        <f>IF(COUNT($F$76:S76)&gt;$F$63,-$K44,0)*IF(S$75&gt;$K$68,0,1)*(1+$L$48)^(-1+S$74)</f>
        <v>0</v>
      </c>
      <c r="T89" s="12">
        <f>IF(COUNT($F$76:T76)&gt;$F$63,-$K44,0)*IF(T$75&gt;$K$68,0,1)*(1+$L$48)^(-1+T$74)</f>
        <v>0</v>
      </c>
      <c r="U89" s="12">
        <f>IF(COUNT($F$76:U76)&gt;$F$63,-$K44,0)*IF(U$75&gt;$K$68,0,1)*(1+$L$48)^(-1+U$74)</f>
        <v>0</v>
      </c>
      <c r="V89" s="12">
        <f>IF(COUNT($F$76:V76)&gt;$F$63,-$K44,0)*IF(V$75&gt;$K$68,0,1)*(1+$L$48)^(-1+V$74)</f>
        <v>0</v>
      </c>
      <c r="W89" s="12">
        <f>IF(COUNT($F$76:W76)&gt;$F$63,-$K44,0)*IF(W$75&gt;$K$68,0,1)*(1+$L$48)^(-1+W$74)</f>
        <v>0</v>
      </c>
      <c r="X89" s="12">
        <f>IF(COUNT($F$76:X76)&gt;$F$63,-$K44,0)*IF(X$75&gt;$K$68,0,1)*(1+$L$48)^(-1+X$74)</f>
        <v>0</v>
      </c>
      <c r="Y89" s="12">
        <f>IF(COUNT($F$76:Y76)&gt;$F$63,-$K44,0)*IF(Y$75&gt;$K$68,0,1)*(1+$L$48)^(-1+Y$74)</f>
        <v>0</v>
      </c>
      <c r="Z89" s="12">
        <f>IF(COUNT($F$76:Z76)&gt;$F$63,-$K44,0)*IF(Z$75&gt;$K$68,0,1)*(1+$L$48)^(-1+Z$74)</f>
        <v>0</v>
      </c>
      <c r="AA89" s="12">
        <f>IF(COUNT($F$76:AA76)&gt;$F$63,-$K44,0)*IF(AA$75&gt;$K$68,0,1)*(1+$L$48)^(-1+AA$74)</f>
        <v>0</v>
      </c>
      <c r="AB89" s="12">
        <f>IF(COUNT($F$76:AB76)&gt;$F$63,-$K44,0)*IF(AB$75&gt;$K$68,0,1)*(1+$L$48)^(-1+AB$74)</f>
        <v>0</v>
      </c>
      <c r="AC89" s="12">
        <f>IF(COUNT($F$76:AC76)&gt;$F$63,-$K44,0)*IF(AC$75&gt;$K$68,0,1)*(1+$L$48)^(-1+AC$74)</f>
        <v>0</v>
      </c>
      <c r="AD89" s="12">
        <f>IF(COUNT($F$76:AD76)&gt;$F$63,-$K44,0)*IF(AD$75&gt;$K$68,0,1)*(1+$L$48)^(-1+AD$74)</f>
        <v>0</v>
      </c>
      <c r="AE89" s="12">
        <f>IF(COUNT($F$76:AE76)&gt;$F$63,-$K44,0)*IF(AE$75&gt;$K$68,0,1)*(1+$L$48)^(-1+AE$74)</f>
        <v>0</v>
      </c>
      <c r="AF89" s="12">
        <f>IF(COUNT($F$76:AF76)&gt;$F$63,-$K44,0)*IF(AF$75&gt;$K$68,0,1)*(1+$L$48)^(-1+AF$74)</f>
        <v>0</v>
      </c>
      <c r="AG89" s="12">
        <f>IF(COUNT($F$76:AG76)&gt;$F$63,-$K44,0)*IF(AG$75&gt;$K$68,0,1)*(1+$L$48)^(-1+AG$74)</f>
        <v>0</v>
      </c>
      <c r="AH89" s="12">
        <f>IF(COUNT($F$76:AH76)&gt;$F$63,-$K44,0)*IF(AH$75&gt;$K$68,0,1)*(1+$L$48)^(-1+AH$74)</f>
        <v>0</v>
      </c>
      <c r="AI89" s="12">
        <f>IF(COUNT($F$76:AI76)&gt;$F$63,-$K44,0)*IF(AI$75&gt;$K$68,0,1)*(1+$L$48)^(-1+AI$74)</f>
        <v>0</v>
      </c>
      <c r="AJ89" s="12">
        <f>IF(COUNT($F$76:AJ76)&gt;$F$63,-$K44,0)*IF(AJ$75&gt;$K$68,0,1)*(1+$L$48)^(-1+AJ$74)</f>
        <v>0</v>
      </c>
      <c r="AK89" s="12">
        <f>IF(COUNT($F$76:AK76)&gt;$F$63,-$K44,0)*IF(AK$75&gt;$K$68,0,1)*(1+$L$48)^(-1+AK$74)</f>
        <v>0</v>
      </c>
      <c r="AL89" s="12">
        <f>IF(COUNT($F$76:AL76)&gt;$F$63,-$K44,0)*IF(AL$75&gt;$K$68,0,1)*(1+$L$48)^(-1+AL$74)</f>
        <v>0</v>
      </c>
      <c r="AM89" s="12">
        <f>IF(COUNT($F$76:AM76)&gt;$F$63,-$K44,0)*IF(AM$75&gt;$K$68,0,1)*(1+$L$48)^(-1+AM$74)</f>
        <v>0</v>
      </c>
      <c r="AN89" s="12">
        <f>IF(COUNT($F$76:AN76)&gt;$F$63,-$K44,0)*IF(AN$75&gt;$K$68,0,1)*(1+$L$48)^(-1+AN$74)</f>
        <v>0</v>
      </c>
      <c r="AO89" s="12">
        <f>IF(COUNT($F$76:AO76)&gt;$F$63,-$K44,0)*IF(AO$75&gt;$K$68,0,1)*(1+$L$48)^(-1+AO$74)</f>
        <v>0</v>
      </c>
      <c r="AP89" s="12">
        <f>IF(COUNT($F$76:AP76)&gt;$F$63,-$K44,0)*IF(AP$75&gt;$K$68,0,1)*(1+$L$48)^(-1+AP$74)</f>
        <v>0</v>
      </c>
      <c r="AQ89" s="12">
        <f>IF(COUNT($F$76:AQ76)&gt;$F$63,-$K44,0)*IF(AQ$75&gt;$K$68,0,1)*(1+$L$48)^(-1+AQ$74)</f>
        <v>0</v>
      </c>
      <c r="AR89" s="12">
        <f>IF(COUNT($F$76:AR76)&gt;$F$63,-$K44,0)*IF(AR$75&gt;$K$68,0,1)*(1+$L$48)^(-1+AR$74)</f>
        <v>0</v>
      </c>
      <c r="AS89" s="12">
        <f>IF(COUNT($F$76:AS76)&gt;$F$63,-$K44,0)*IF(AS$75&gt;$K$68,0,1)*(1+$L$48)^(-1+AS$74)</f>
        <v>0</v>
      </c>
      <c r="AT89" s="12">
        <f>IF(COUNT($F$76:AT76)&gt;$F$63,-$K44,0)*IF(AT$75&gt;$K$68,0,1)*(1+$L$48)^(-1+AT$74)</f>
        <v>0</v>
      </c>
      <c r="AU89" s="12">
        <f>IF(COUNT($F$76:AU76)&gt;$F$63,-$K44,0)*IF(AU$75&gt;$K$68,0,1)*(1+$L$48)^(-1+AU$74)</f>
        <v>0</v>
      </c>
      <c r="AV89" s="12">
        <f>IF(COUNT($F$76:AV76)&gt;$F$63,-$K44,0)*IF(AV$75&gt;$K$68,0,1)*(1+$L$48)^(-1+AV$74)</f>
        <v>0</v>
      </c>
      <c r="AW89" s="12">
        <f>IF(COUNT($F$76:AW76)&gt;$F$63,-$K44,0)*IF(AW$75&gt;$K$68,0,1)*(1+$L$48)^(-1+AW$74)</f>
        <v>0</v>
      </c>
      <c r="AX89" s="12">
        <f>IF(COUNT($F$76:AX76)&gt;$F$63,-$K44,0)*IF(AX$75&gt;$K$68,0,1)*(1+$L$48)^(-1+AX$74)</f>
        <v>0</v>
      </c>
      <c r="AY89" s="12">
        <f>IF(COUNT($F$76:AY76)&gt;$F$63,-$K44,0)*IF(AY$75&gt;$K$68,0,1)*(1+$L$48)^(-1+AY$74)</f>
        <v>0</v>
      </c>
      <c r="AZ89" s="12">
        <f>IF(COUNT($F$76:AZ76)&gt;$F$63,-$K44,0)*IF(AZ$75&gt;$K$68,0,1)*(1+$L$48)^(-1+AZ$74)</f>
        <v>0</v>
      </c>
      <c r="BA89" s="12">
        <f>IF(COUNT($F$76:BA76)&gt;$F$63,-$K44,0)*IF(BA$75&gt;$K$68,0,1)*(1+$L$48)^(-1+BA$74)</f>
        <v>0</v>
      </c>
      <c r="BB89" s="12">
        <f>IF(COUNT($F$76:BB76)&gt;$F$63,-$K44,0)*IF(BB$75&gt;$K$68,0,1)*(1+$L$48)^(-1+BB$74)</f>
        <v>0</v>
      </c>
      <c r="BC89" s="12">
        <f>IF(COUNT($F$76:BC76)&gt;$F$63,-$K44,0)*IF(BC$75&gt;$K$68,0,1)*(1+$L$48)^(-1+BC$74)</f>
        <v>0</v>
      </c>
      <c r="BD89" s="12">
        <f>IF(COUNT($F$76:BD76)&gt;$F$63,-$K44,0)*IF(BD$75&gt;$K$68,0,1)*(1+$L$48)^(-1+BD$74)</f>
        <v>0</v>
      </c>
      <c r="BE89" s="12">
        <f>IF(COUNT($F$76:BE76)&gt;$F$63,-$K44,0)*IF(BE$75&gt;$K$68,0,1)*(1+$L$48)^(-1+BE$74)</f>
        <v>0</v>
      </c>
      <c r="BF89" s="12">
        <f>IF(COUNT($F$76:BF76)&gt;$F$63,-$K44,0)*IF(BF$75&gt;$K$68,0,1)*(1+$L$48)^(-1+BF$74)</f>
        <v>0</v>
      </c>
      <c r="BG89" s="12">
        <f>IF(COUNT($F$76:BG76)&gt;$F$63,-$K44,0)*IF(BG$75&gt;$K$68,0,1)*(1+$L$48)^(-1+BG$74)</f>
        <v>0</v>
      </c>
      <c r="BH89" s="12">
        <f>IF(COUNT($F$76:BH76)&gt;$F$63,-$K44,0)*IF(BH$75&gt;$K$68,0,1)*(1+$L$48)^(-1+BH$74)</f>
        <v>0</v>
      </c>
      <c r="BI89" s="12">
        <f>IF(COUNT($F$76:BI76)&gt;$F$63,-$K44,0)*IF(BI$75&gt;$K$68,0,1)*(1+$L$48)^(-1+BI$74)</f>
        <v>0</v>
      </c>
      <c r="BJ89" s="12">
        <f>IF(COUNT($F$76:BJ76)&gt;$F$63,-$K44,0)*IF(BJ$75&gt;$K$68,0,1)*(1+$L$48)^(-1+BJ$74)</f>
        <v>0</v>
      </c>
      <c r="BK89" s="12">
        <f>IF(COUNT($F$76:BK76)&gt;$F$63,-$K44,0)*IF(BK$75&gt;$K$68,0,1)*(1+$L$48)^(-1+BK$74)</f>
        <v>0</v>
      </c>
      <c r="BL89" s="12">
        <f>IF(COUNT($F$76:BL76)&gt;$F$63,-$K44,0)*IF(BL$75&gt;$K$68,0,1)*(1+$L$48)^(-1+BL$74)</f>
        <v>0</v>
      </c>
      <c r="BM89" s="12">
        <f>IF(COUNT($F$76:BM76)&gt;$F$63,-$K44,0)*IF(BM$75&gt;$K$68,0,1)*(1+$L$48)^(-1+BM$74)</f>
        <v>0</v>
      </c>
    </row>
    <row r="90" spans="2:65" s="1" customFormat="1" ht="10" x14ac:dyDescent="0.15">
      <c r="B90" s="12" t="str">
        <f t="shared" si="20"/>
        <v>Other (pcm / p.a.)</v>
      </c>
      <c r="E90" s="12"/>
      <c r="F90" s="12">
        <f>IF(COUNT($F$76:F76)&gt;$F$63,-$K45,0)*IF(F$75&gt;$K$68,0,1)*(1+$L$48)^(-1+F$74)</f>
        <v>0</v>
      </c>
      <c r="G90" s="12">
        <f>IF(COUNT($F$76:G76)&gt;$F$63,-$K45,0)*IF(G$75&gt;$K$68,0,1)*(1+$L$48)^(-1+G$74)</f>
        <v>0</v>
      </c>
      <c r="H90" s="12">
        <f>IF(COUNT($F$76:H76)&gt;$F$63,-$K45,0)*IF(H$75&gt;$K$68,0,1)*(1+$L$48)^(-1+H$74)</f>
        <v>0</v>
      </c>
      <c r="I90" s="12">
        <f>IF(COUNT($F$76:I76)&gt;$F$63,-$K45,0)*IF(I$75&gt;$K$68,0,1)*(1+$L$48)^(-1+I$74)</f>
        <v>0</v>
      </c>
      <c r="J90" s="12">
        <f>IF(COUNT($F$76:J76)&gt;$F$63,-$K45,0)*IF(J$75&gt;$K$68,0,1)*(1+$L$48)^(-1+J$74)</f>
        <v>0</v>
      </c>
      <c r="K90" s="12">
        <f>IF(COUNT($F$76:K76)&gt;$F$63,-$K45,0)*IF(K$75&gt;$K$68,0,1)*(1+$L$48)^(-1+K$74)</f>
        <v>0</v>
      </c>
      <c r="L90" s="12">
        <f>IF(COUNT($F$76:L76)&gt;$F$63,-$K45,0)*IF(L$75&gt;$K$68,0,1)*(1+$L$48)^(-1+L$74)</f>
        <v>0</v>
      </c>
      <c r="M90" s="12">
        <f>IF(COUNT($F$76:M76)&gt;$F$63,-$K45,0)*IF(M$75&gt;$K$68,0,1)*(1+$L$48)^(-1+M$74)</f>
        <v>0</v>
      </c>
      <c r="N90" s="12">
        <f>IF(COUNT($F$76:N76)&gt;$F$63,-$K45,0)*IF(N$75&gt;$K$68,0,1)*(1+$L$48)^(-1+N$74)</f>
        <v>0</v>
      </c>
      <c r="O90" s="12">
        <f>IF(COUNT($F$76:O76)&gt;$F$63,-$K45,0)*IF(O$75&gt;$K$68,0,1)*(1+$L$48)^(-1+O$74)</f>
        <v>0</v>
      </c>
      <c r="P90" s="12">
        <f>IF(COUNT($F$76:P76)&gt;$F$63,-$K45,0)*IF(P$75&gt;$K$68,0,1)*(1+$L$48)^(-1+P$74)</f>
        <v>0</v>
      </c>
      <c r="Q90" s="12">
        <f>IF(COUNT($F$76:Q76)&gt;$F$63,-$K45,0)*IF(Q$75&gt;$K$68,0,1)*(1+$L$48)^(-1+Q$74)</f>
        <v>0</v>
      </c>
      <c r="R90" s="12">
        <f>IF(COUNT($F$76:R76)&gt;$F$63,-$K45,0)*IF(R$75&gt;$K$68,0,1)*(1+$L$48)^(-1+R$74)</f>
        <v>0</v>
      </c>
      <c r="S90" s="12">
        <f>IF(COUNT($F$76:S76)&gt;$F$63,-$K45,0)*IF(S$75&gt;$K$68,0,1)*(1+$L$48)^(-1+S$74)</f>
        <v>0</v>
      </c>
      <c r="T90" s="12">
        <f>IF(COUNT($F$76:T76)&gt;$F$63,-$K45,0)*IF(T$75&gt;$K$68,0,1)*(1+$L$48)^(-1+T$74)</f>
        <v>0</v>
      </c>
      <c r="U90" s="12">
        <f>IF(COUNT($F$76:U76)&gt;$F$63,-$K45,0)*IF(U$75&gt;$K$68,0,1)*(1+$L$48)^(-1+U$74)</f>
        <v>0</v>
      </c>
      <c r="V90" s="12">
        <f>IF(COUNT($F$76:V76)&gt;$F$63,-$K45,0)*IF(V$75&gt;$K$68,0,1)*(1+$L$48)^(-1+V$74)</f>
        <v>0</v>
      </c>
      <c r="W90" s="12">
        <f>IF(COUNT($F$76:W76)&gt;$F$63,-$K45,0)*IF(W$75&gt;$K$68,0,1)*(1+$L$48)^(-1+W$74)</f>
        <v>0</v>
      </c>
      <c r="X90" s="12">
        <f>IF(COUNT($F$76:X76)&gt;$F$63,-$K45,0)*IF(X$75&gt;$K$68,0,1)*(1+$L$48)^(-1+X$74)</f>
        <v>0</v>
      </c>
      <c r="Y90" s="12">
        <f>IF(COUNT($F$76:Y76)&gt;$F$63,-$K45,0)*IF(Y$75&gt;$K$68,0,1)*(1+$L$48)^(-1+Y$74)</f>
        <v>0</v>
      </c>
      <c r="Z90" s="12">
        <f>IF(COUNT($F$76:Z76)&gt;$F$63,-$K45,0)*IF(Z$75&gt;$K$68,0,1)*(1+$L$48)^(-1+Z$74)</f>
        <v>0</v>
      </c>
      <c r="AA90" s="12">
        <f>IF(COUNT($F$76:AA76)&gt;$F$63,-$K45,0)*IF(AA$75&gt;$K$68,0,1)*(1+$L$48)^(-1+AA$74)</f>
        <v>0</v>
      </c>
      <c r="AB90" s="12">
        <f>IF(COUNT($F$76:AB76)&gt;$F$63,-$K45,0)*IF(AB$75&gt;$K$68,0,1)*(1+$L$48)^(-1+AB$74)</f>
        <v>0</v>
      </c>
      <c r="AC90" s="12">
        <f>IF(COUNT($F$76:AC76)&gt;$F$63,-$K45,0)*IF(AC$75&gt;$K$68,0,1)*(1+$L$48)^(-1+AC$74)</f>
        <v>0</v>
      </c>
      <c r="AD90" s="12">
        <f>IF(COUNT($F$76:AD76)&gt;$F$63,-$K45,0)*IF(AD$75&gt;$K$68,0,1)*(1+$L$48)^(-1+AD$74)</f>
        <v>0</v>
      </c>
      <c r="AE90" s="12">
        <f>IF(COUNT($F$76:AE76)&gt;$F$63,-$K45,0)*IF(AE$75&gt;$K$68,0,1)*(1+$L$48)^(-1+AE$74)</f>
        <v>0</v>
      </c>
      <c r="AF90" s="12">
        <f>IF(COUNT($F$76:AF76)&gt;$F$63,-$K45,0)*IF(AF$75&gt;$K$68,0,1)*(1+$L$48)^(-1+AF$74)</f>
        <v>0</v>
      </c>
      <c r="AG90" s="12">
        <f>IF(COUNT($F$76:AG76)&gt;$F$63,-$K45,0)*IF(AG$75&gt;$K$68,0,1)*(1+$L$48)^(-1+AG$74)</f>
        <v>0</v>
      </c>
      <c r="AH90" s="12">
        <f>IF(COUNT($F$76:AH76)&gt;$F$63,-$K45,0)*IF(AH$75&gt;$K$68,0,1)*(1+$L$48)^(-1+AH$74)</f>
        <v>0</v>
      </c>
      <c r="AI90" s="12">
        <f>IF(COUNT($F$76:AI76)&gt;$F$63,-$K45,0)*IF(AI$75&gt;$K$68,0,1)*(1+$L$48)^(-1+AI$74)</f>
        <v>0</v>
      </c>
      <c r="AJ90" s="12">
        <f>IF(COUNT($F$76:AJ76)&gt;$F$63,-$K45,0)*IF(AJ$75&gt;$K$68,0,1)*(1+$L$48)^(-1+AJ$74)</f>
        <v>0</v>
      </c>
      <c r="AK90" s="12">
        <f>IF(COUNT($F$76:AK76)&gt;$F$63,-$K45,0)*IF(AK$75&gt;$K$68,0,1)*(1+$L$48)^(-1+AK$74)</f>
        <v>0</v>
      </c>
      <c r="AL90" s="12">
        <f>IF(COUNT($F$76:AL76)&gt;$F$63,-$K45,0)*IF(AL$75&gt;$K$68,0,1)*(1+$L$48)^(-1+AL$74)</f>
        <v>0</v>
      </c>
      <c r="AM90" s="12">
        <f>IF(COUNT($F$76:AM76)&gt;$F$63,-$K45,0)*IF(AM$75&gt;$K$68,0,1)*(1+$L$48)^(-1+AM$74)</f>
        <v>0</v>
      </c>
      <c r="AN90" s="12">
        <f>IF(COUNT($F$76:AN76)&gt;$F$63,-$K45,0)*IF(AN$75&gt;$K$68,0,1)*(1+$L$48)^(-1+AN$74)</f>
        <v>0</v>
      </c>
      <c r="AO90" s="12">
        <f>IF(COUNT($F$76:AO76)&gt;$F$63,-$K45,0)*IF(AO$75&gt;$K$68,0,1)*(1+$L$48)^(-1+AO$74)</f>
        <v>0</v>
      </c>
      <c r="AP90" s="12">
        <f>IF(COUNT($F$76:AP76)&gt;$F$63,-$K45,0)*IF(AP$75&gt;$K$68,0,1)*(1+$L$48)^(-1+AP$74)</f>
        <v>0</v>
      </c>
      <c r="AQ90" s="12">
        <f>IF(COUNT($F$76:AQ76)&gt;$F$63,-$K45,0)*IF(AQ$75&gt;$K$68,0,1)*(1+$L$48)^(-1+AQ$74)</f>
        <v>0</v>
      </c>
      <c r="AR90" s="12">
        <f>IF(COUNT($F$76:AR76)&gt;$F$63,-$K45,0)*IF(AR$75&gt;$K$68,0,1)*(1+$L$48)^(-1+AR$74)</f>
        <v>0</v>
      </c>
      <c r="AS90" s="12">
        <f>IF(COUNT($F$76:AS76)&gt;$F$63,-$K45,0)*IF(AS$75&gt;$K$68,0,1)*(1+$L$48)^(-1+AS$74)</f>
        <v>0</v>
      </c>
      <c r="AT90" s="12">
        <f>IF(COUNT($F$76:AT76)&gt;$F$63,-$K45,0)*IF(AT$75&gt;$K$68,0,1)*(1+$L$48)^(-1+AT$74)</f>
        <v>0</v>
      </c>
      <c r="AU90" s="12">
        <f>IF(COUNT($F$76:AU76)&gt;$F$63,-$K45,0)*IF(AU$75&gt;$K$68,0,1)*(1+$L$48)^(-1+AU$74)</f>
        <v>0</v>
      </c>
      <c r="AV90" s="12">
        <f>IF(COUNT($F$76:AV76)&gt;$F$63,-$K45,0)*IF(AV$75&gt;$K$68,0,1)*(1+$L$48)^(-1+AV$74)</f>
        <v>0</v>
      </c>
      <c r="AW90" s="12">
        <f>IF(COUNT($F$76:AW76)&gt;$F$63,-$K45,0)*IF(AW$75&gt;$K$68,0,1)*(1+$L$48)^(-1+AW$74)</f>
        <v>0</v>
      </c>
      <c r="AX90" s="12">
        <f>IF(COUNT($F$76:AX76)&gt;$F$63,-$K45,0)*IF(AX$75&gt;$K$68,0,1)*(1+$L$48)^(-1+AX$74)</f>
        <v>0</v>
      </c>
      <c r="AY90" s="12">
        <f>IF(COUNT($F$76:AY76)&gt;$F$63,-$K45,0)*IF(AY$75&gt;$K$68,0,1)*(1+$L$48)^(-1+AY$74)</f>
        <v>0</v>
      </c>
      <c r="AZ90" s="12">
        <f>IF(COUNT($F$76:AZ76)&gt;$F$63,-$K45,0)*IF(AZ$75&gt;$K$68,0,1)*(1+$L$48)^(-1+AZ$74)</f>
        <v>0</v>
      </c>
      <c r="BA90" s="12">
        <f>IF(COUNT($F$76:BA76)&gt;$F$63,-$K45,0)*IF(BA$75&gt;$K$68,0,1)*(1+$L$48)^(-1+BA$74)</f>
        <v>0</v>
      </c>
      <c r="BB90" s="12">
        <f>IF(COUNT($F$76:BB76)&gt;$F$63,-$K45,0)*IF(BB$75&gt;$K$68,0,1)*(1+$L$48)^(-1+BB$74)</f>
        <v>0</v>
      </c>
      <c r="BC90" s="12">
        <f>IF(COUNT($F$76:BC76)&gt;$F$63,-$K45,0)*IF(BC$75&gt;$K$68,0,1)*(1+$L$48)^(-1+BC$74)</f>
        <v>0</v>
      </c>
      <c r="BD90" s="12">
        <f>IF(COUNT($F$76:BD76)&gt;$F$63,-$K45,0)*IF(BD$75&gt;$K$68,0,1)*(1+$L$48)^(-1+BD$74)</f>
        <v>0</v>
      </c>
      <c r="BE90" s="12">
        <f>IF(COUNT($F$76:BE76)&gt;$F$63,-$K45,0)*IF(BE$75&gt;$K$68,0,1)*(1+$L$48)^(-1+BE$74)</f>
        <v>0</v>
      </c>
      <c r="BF90" s="12">
        <f>IF(COUNT($F$76:BF76)&gt;$F$63,-$K45,0)*IF(BF$75&gt;$K$68,0,1)*(1+$L$48)^(-1+BF$74)</f>
        <v>0</v>
      </c>
      <c r="BG90" s="12">
        <f>IF(COUNT($F$76:BG76)&gt;$F$63,-$K45,0)*IF(BG$75&gt;$K$68,0,1)*(1+$L$48)^(-1+BG$74)</f>
        <v>0</v>
      </c>
      <c r="BH90" s="12">
        <f>IF(COUNT($F$76:BH76)&gt;$F$63,-$K45,0)*IF(BH$75&gt;$K$68,0,1)*(1+$L$48)^(-1+BH$74)</f>
        <v>0</v>
      </c>
      <c r="BI90" s="12">
        <f>IF(COUNT($F$76:BI76)&gt;$F$63,-$K45,0)*IF(BI$75&gt;$K$68,0,1)*(1+$L$48)^(-1+BI$74)</f>
        <v>0</v>
      </c>
      <c r="BJ90" s="12">
        <f>IF(COUNT($F$76:BJ76)&gt;$F$63,-$K45,0)*IF(BJ$75&gt;$K$68,0,1)*(1+$L$48)^(-1+BJ$74)</f>
        <v>0</v>
      </c>
      <c r="BK90" s="12">
        <f>IF(COUNT($F$76:BK76)&gt;$F$63,-$K45,0)*IF(BK$75&gt;$K$68,0,1)*(1+$L$48)^(-1+BK$74)</f>
        <v>0</v>
      </c>
      <c r="BL90" s="12">
        <f>IF(COUNT($F$76:BL76)&gt;$F$63,-$K45,0)*IF(BL$75&gt;$K$68,0,1)*(1+$L$48)^(-1+BL$74)</f>
        <v>0</v>
      </c>
      <c r="BM90" s="12">
        <f>IF(COUNT($F$76:BM76)&gt;$F$63,-$K45,0)*IF(BM$75&gt;$K$68,0,1)*(1+$L$48)^(-1+BM$74)</f>
        <v>0</v>
      </c>
    </row>
    <row r="91" spans="2:65" s="1" customFormat="1" ht="10" x14ac:dyDescent="0.15">
      <c r="B91" s="12" t="str">
        <f t="shared" si="20"/>
        <v>Other (pcm / p.a.)</v>
      </c>
      <c r="E91" s="12"/>
      <c r="F91" s="12">
        <f>IF(COUNT($F$76:F76)&gt;$F$63,-$K46,0)*IF(F$75&gt;$K$68,0,1)*(1+$L$48)^(-1+F$74)</f>
        <v>0</v>
      </c>
      <c r="G91" s="12">
        <f>IF(COUNT($F$76:G76)&gt;$F$63,-$K46,0)*IF(G$75&gt;$K$68,0,1)*(1+$L$48)^(-1+G$74)</f>
        <v>0</v>
      </c>
      <c r="H91" s="12">
        <f>IF(COUNT($F$76:H76)&gt;$F$63,-$K46,0)*IF(H$75&gt;$K$68,0,1)*(1+$L$48)^(-1+H$74)</f>
        <v>0</v>
      </c>
      <c r="I91" s="12">
        <f>IF(COUNT($F$76:I76)&gt;$F$63,-$K46,0)*IF(I$75&gt;$K$68,0,1)*(1+$L$48)^(-1+I$74)</f>
        <v>0</v>
      </c>
      <c r="J91" s="12">
        <f>IF(COUNT($F$76:J76)&gt;$F$63,-$K46,0)*IF(J$75&gt;$K$68,0,1)*(1+$L$48)^(-1+J$74)</f>
        <v>0</v>
      </c>
      <c r="K91" s="12">
        <f>IF(COUNT($F$76:K76)&gt;$F$63,-$K46,0)*IF(K$75&gt;$K$68,0,1)*(1+$L$48)^(-1+K$74)</f>
        <v>0</v>
      </c>
      <c r="L91" s="12">
        <f>IF(COUNT($F$76:L76)&gt;$F$63,-$K46,0)*IF(L$75&gt;$K$68,0,1)*(1+$L$48)^(-1+L$74)</f>
        <v>0</v>
      </c>
      <c r="M91" s="12">
        <f>IF(COUNT($F$76:M76)&gt;$F$63,-$K46,0)*IF(M$75&gt;$K$68,0,1)*(1+$L$48)^(-1+M$74)</f>
        <v>0</v>
      </c>
      <c r="N91" s="12">
        <f>IF(COUNT($F$76:N76)&gt;$F$63,-$K46,0)*IF(N$75&gt;$K$68,0,1)*(1+$L$48)^(-1+N$74)</f>
        <v>0</v>
      </c>
      <c r="O91" s="12">
        <f>IF(COUNT($F$76:O76)&gt;$F$63,-$K46,0)*IF(O$75&gt;$K$68,0,1)*(1+$L$48)^(-1+O$74)</f>
        <v>0</v>
      </c>
      <c r="P91" s="12">
        <f>IF(COUNT($F$76:P76)&gt;$F$63,-$K46,0)*IF(P$75&gt;$K$68,0,1)*(1+$L$48)^(-1+P$74)</f>
        <v>0</v>
      </c>
      <c r="Q91" s="12">
        <f>IF(COUNT($F$76:Q76)&gt;$F$63,-$K46,0)*IF(Q$75&gt;$K$68,0,1)*(1+$L$48)^(-1+Q$74)</f>
        <v>0</v>
      </c>
      <c r="R91" s="12">
        <f>IF(COUNT($F$76:R76)&gt;$F$63,-$K46,0)*IF(R$75&gt;$K$68,0,1)*(1+$L$48)^(-1+R$74)</f>
        <v>0</v>
      </c>
      <c r="S91" s="12">
        <f>IF(COUNT($F$76:S76)&gt;$F$63,-$K46,0)*IF(S$75&gt;$K$68,0,1)*(1+$L$48)^(-1+S$74)</f>
        <v>0</v>
      </c>
      <c r="T91" s="12">
        <f>IF(COUNT($F$76:T76)&gt;$F$63,-$K46,0)*IF(T$75&gt;$K$68,0,1)*(1+$L$48)^(-1+T$74)</f>
        <v>0</v>
      </c>
      <c r="U91" s="12">
        <f>IF(COUNT($F$76:U76)&gt;$F$63,-$K46,0)*IF(U$75&gt;$K$68,0,1)*(1+$L$48)^(-1+U$74)</f>
        <v>0</v>
      </c>
      <c r="V91" s="12">
        <f>IF(COUNT($F$76:V76)&gt;$F$63,-$K46,0)*IF(V$75&gt;$K$68,0,1)*(1+$L$48)^(-1+V$74)</f>
        <v>0</v>
      </c>
      <c r="W91" s="12">
        <f>IF(COUNT($F$76:W76)&gt;$F$63,-$K46,0)*IF(W$75&gt;$K$68,0,1)*(1+$L$48)^(-1+W$74)</f>
        <v>0</v>
      </c>
      <c r="X91" s="12">
        <f>IF(COUNT($F$76:X76)&gt;$F$63,-$K46,0)*IF(X$75&gt;$K$68,0,1)*(1+$L$48)^(-1+X$74)</f>
        <v>0</v>
      </c>
      <c r="Y91" s="12">
        <f>IF(COUNT($F$76:Y76)&gt;$F$63,-$K46,0)*IF(Y$75&gt;$K$68,0,1)*(1+$L$48)^(-1+Y$74)</f>
        <v>0</v>
      </c>
      <c r="Z91" s="12">
        <f>IF(COUNT($F$76:Z76)&gt;$F$63,-$K46,0)*IF(Z$75&gt;$K$68,0,1)*(1+$L$48)^(-1+Z$74)</f>
        <v>0</v>
      </c>
      <c r="AA91" s="12">
        <f>IF(COUNT($F$76:AA76)&gt;$F$63,-$K46,0)*IF(AA$75&gt;$K$68,0,1)*(1+$L$48)^(-1+AA$74)</f>
        <v>0</v>
      </c>
      <c r="AB91" s="12">
        <f>IF(COUNT($F$76:AB76)&gt;$F$63,-$K46,0)*IF(AB$75&gt;$K$68,0,1)*(1+$L$48)^(-1+AB$74)</f>
        <v>0</v>
      </c>
      <c r="AC91" s="12">
        <f>IF(COUNT($F$76:AC76)&gt;$F$63,-$K46,0)*IF(AC$75&gt;$K$68,0,1)*(1+$L$48)^(-1+AC$74)</f>
        <v>0</v>
      </c>
      <c r="AD91" s="12">
        <f>IF(COUNT($F$76:AD76)&gt;$F$63,-$K46,0)*IF(AD$75&gt;$K$68,0,1)*(1+$L$48)^(-1+AD$74)</f>
        <v>0</v>
      </c>
      <c r="AE91" s="12">
        <f>IF(COUNT($F$76:AE76)&gt;$F$63,-$K46,0)*IF(AE$75&gt;$K$68,0,1)*(1+$L$48)^(-1+AE$74)</f>
        <v>0</v>
      </c>
      <c r="AF91" s="12">
        <f>IF(COUNT($F$76:AF76)&gt;$F$63,-$K46,0)*IF(AF$75&gt;$K$68,0,1)*(1+$L$48)^(-1+AF$74)</f>
        <v>0</v>
      </c>
      <c r="AG91" s="12">
        <f>IF(COUNT($F$76:AG76)&gt;$F$63,-$K46,0)*IF(AG$75&gt;$K$68,0,1)*(1+$L$48)^(-1+AG$74)</f>
        <v>0</v>
      </c>
      <c r="AH91" s="12">
        <f>IF(COUNT($F$76:AH76)&gt;$F$63,-$K46,0)*IF(AH$75&gt;$K$68,0,1)*(1+$L$48)^(-1+AH$74)</f>
        <v>0</v>
      </c>
      <c r="AI91" s="12">
        <f>IF(COUNT($F$76:AI76)&gt;$F$63,-$K46,0)*IF(AI$75&gt;$K$68,0,1)*(1+$L$48)^(-1+AI$74)</f>
        <v>0</v>
      </c>
      <c r="AJ91" s="12">
        <f>IF(COUNT($F$76:AJ76)&gt;$F$63,-$K46,0)*IF(AJ$75&gt;$K$68,0,1)*(1+$L$48)^(-1+AJ$74)</f>
        <v>0</v>
      </c>
      <c r="AK91" s="12">
        <f>IF(COUNT($F$76:AK76)&gt;$F$63,-$K46,0)*IF(AK$75&gt;$K$68,0,1)*(1+$L$48)^(-1+AK$74)</f>
        <v>0</v>
      </c>
      <c r="AL91" s="12">
        <f>IF(COUNT($F$76:AL76)&gt;$F$63,-$K46,0)*IF(AL$75&gt;$K$68,0,1)*(1+$L$48)^(-1+AL$74)</f>
        <v>0</v>
      </c>
      <c r="AM91" s="12">
        <f>IF(COUNT($F$76:AM76)&gt;$F$63,-$K46,0)*IF(AM$75&gt;$K$68,0,1)*(1+$L$48)^(-1+AM$74)</f>
        <v>0</v>
      </c>
      <c r="AN91" s="12">
        <f>IF(COUNT($F$76:AN76)&gt;$F$63,-$K46,0)*IF(AN$75&gt;$K$68,0,1)*(1+$L$48)^(-1+AN$74)</f>
        <v>0</v>
      </c>
      <c r="AO91" s="12">
        <f>IF(COUNT($F$76:AO76)&gt;$F$63,-$K46,0)*IF(AO$75&gt;$K$68,0,1)*(1+$L$48)^(-1+AO$74)</f>
        <v>0</v>
      </c>
      <c r="AP91" s="12">
        <f>IF(COUNT($F$76:AP76)&gt;$F$63,-$K46,0)*IF(AP$75&gt;$K$68,0,1)*(1+$L$48)^(-1+AP$74)</f>
        <v>0</v>
      </c>
      <c r="AQ91" s="12">
        <f>IF(COUNT($F$76:AQ76)&gt;$F$63,-$K46,0)*IF(AQ$75&gt;$K$68,0,1)*(1+$L$48)^(-1+AQ$74)</f>
        <v>0</v>
      </c>
      <c r="AR91" s="12">
        <f>IF(COUNT($F$76:AR76)&gt;$F$63,-$K46,0)*IF(AR$75&gt;$K$68,0,1)*(1+$L$48)^(-1+AR$74)</f>
        <v>0</v>
      </c>
      <c r="AS91" s="12">
        <f>IF(COUNT($F$76:AS76)&gt;$F$63,-$K46,0)*IF(AS$75&gt;$K$68,0,1)*(1+$L$48)^(-1+AS$74)</f>
        <v>0</v>
      </c>
      <c r="AT91" s="12">
        <f>IF(COUNT($F$76:AT76)&gt;$F$63,-$K46,0)*IF(AT$75&gt;$K$68,0,1)*(1+$L$48)^(-1+AT$74)</f>
        <v>0</v>
      </c>
      <c r="AU91" s="12">
        <f>IF(COUNT($F$76:AU76)&gt;$F$63,-$K46,0)*IF(AU$75&gt;$K$68,0,1)*(1+$L$48)^(-1+AU$74)</f>
        <v>0</v>
      </c>
      <c r="AV91" s="12">
        <f>IF(COUNT($F$76:AV76)&gt;$F$63,-$K46,0)*IF(AV$75&gt;$K$68,0,1)*(1+$L$48)^(-1+AV$74)</f>
        <v>0</v>
      </c>
      <c r="AW91" s="12">
        <f>IF(COUNT($F$76:AW76)&gt;$F$63,-$K46,0)*IF(AW$75&gt;$K$68,0,1)*(1+$L$48)^(-1+AW$74)</f>
        <v>0</v>
      </c>
      <c r="AX91" s="12">
        <f>IF(COUNT($F$76:AX76)&gt;$F$63,-$K46,0)*IF(AX$75&gt;$K$68,0,1)*(1+$L$48)^(-1+AX$74)</f>
        <v>0</v>
      </c>
      <c r="AY91" s="12">
        <f>IF(COUNT($F$76:AY76)&gt;$F$63,-$K46,0)*IF(AY$75&gt;$K$68,0,1)*(1+$L$48)^(-1+AY$74)</f>
        <v>0</v>
      </c>
      <c r="AZ91" s="12">
        <f>IF(COUNT($F$76:AZ76)&gt;$F$63,-$K46,0)*IF(AZ$75&gt;$K$68,0,1)*(1+$L$48)^(-1+AZ$74)</f>
        <v>0</v>
      </c>
      <c r="BA91" s="12">
        <f>IF(COUNT($F$76:BA76)&gt;$F$63,-$K46,0)*IF(BA$75&gt;$K$68,0,1)*(1+$L$48)^(-1+BA$74)</f>
        <v>0</v>
      </c>
      <c r="BB91" s="12">
        <f>IF(COUNT($F$76:BB76)&gt;$F$63,-$K46,0)*IF(BB$75&gt;$K$68,0,1)*(1+$L$48)^(-1+BB$74)</f>
        <v>0</v>
      </c>
      <c r="BC91" s="12">
        <f>IF(COUNT($F$76:BC76)&gt;$F$63,-$K46,0)*IF(BC$75&gt;$K$68,0,1)*(1+$L$48)^(-1+BC$74)</f>
        <v>0</v>
      </c>
      <c r="BD91" s="12">
        <f>IF(COUNT($F$76:BD76)&gt;$F$63,-$K46,0)*IF(BD$75&gt;$K$68,0,1)*(1+$L$48)^(-1+BD$74)</f>
        <v>0</v>
      </c>
      <c r="BE91" s="12">
        <f>IF(COUNT($F$76:BE76)&gt;$F$63,-$K46,0)*IF(BE$75&gt;$K$68,0,1)*(1+$L$48)^(-1+BE$74)</f>
        <v>0</v>
      </c>
      <c r="BF91" s="12">
        <f>IF(COUNT($F$76:BF76)&gt;$F$63,-$K46,0)*IF(BF$75&gt;$K$68,0,1)*(1+$L$48)^(-1+BF$74)</f>
        <v>0</v>
      </c>
      <c r="BG91" s="12">
        <f>IF(COUNT($F$76:BG76)&gt;$F$63,-$K46,0)*IF(BG$75&gt;$K$68,0,1)*(1+$L$48)^(-1+BG$74)</f>
        <v>0</v>
      </c>
      <c r="BH91" s="12">
        <f>IF(COUNT($F$76:BH76)&gt;$F$63,-$K46,0)*IF(BH$75&gt;$K$68,0,1)*(1+$L$48)^(-1+BH$74)</f>
        <v>0</v>
      </c>
      <c r="BI91" s="12">
        <f>IF(COUNT($F$76:BI76)&gt;$F$63,-$K46,0)*IF(BI$75&gt;$K$68,0,1)*(1+$L$48)^(-1+BI$74)</f>
        <v>0</v>
      </c>
      <c r="BJ91" s="12">
        <f>IF(COUNT($F$76:BJ76)&gt;$F$63,-$K46,0)*IF(BJ$75&gt;$K$68,0,1)*(1+$L$48)^(-1+BJ$74)</f>
        <v>0</v>
      </c>
      <c r="BK91" s="12">
        <f>IF(COUNT($F$76:BK76)&gt;$F$63,-$K46,0)*IF(BK$75&gt;$K$68,0,1)*(1+$L$48)^(-1+BK$74)</f>
        <v>0</v>
      </c>
      <c r="BL91" s="12">
        <f>IF(COUNT($F$76:BL76)&gt;$F$63,-$K46,0)*IF(BL$75&gt;$K$68,0,1)*(1+$L$48)^(-1+BL$74)</f>
        <v>0</v>
      </c>
      <c r="BM91" s="12">
        <f>IF(COUNT($F$76:BM76)&gt;$F$63,-$K46,0)*IF(BM$75&gt;$K$68,0,1)*(1+$L$48)^(-1+BM$74)</f>
        <v>0</v>
      </c>
    </row>
    <row r="92" spans="2:65" s="1" customFormat="1" ht="10" x14ac:dyDescent="0.15">
      <c r="B92" s="12" t="s">
        <v>99</v>
      </c>
      <c r="E92" s="12"/>
      <c r="F92" s="12">
        <f t="shared" ref="F92:AK92" si="33">$L$69*(F75=$K$68)</f>
        <v>0</v>
      </c>
      <c r="G92" s="12">
        <f t="shared" si="33"/>
        <v>0</v>
      </c>
      <c r="H92" s="12">
        <f t="shared" si="33"/>
        <v>0</v>
      </c>
      <c r="I92" s="12">
        <f t="shared" si="33"/>
        <v>0</v>
      </c>
      <c r="J92" s="12">
        <f t="shared" si="33"/>
        <v>0</v>
      </c>
      <c r="K92" s="12">
        <f t="shared" si="33"/>
        <v>0</v>
      </c>
      <c r="L92" s="12">
        <f t="shared" si="33"/>
        <v>0</v>
      </c>
      <c r="M92" s="12">
        <f t="shared" si="33"/>
        <v>0</v>
      </c>
      <c r="N92" s="12">
        <f t="shared" si="33"/>
        <v>0</v>
      </c>
      <c r="O92" s="12">
        <f t="shared" si="33"/>
        <v>0</v>
      </c>
      <c r="P92" s="12">
        <f t="shared" si="33"/>
        <v>0</v>
      </c>
      <c r="Q92" s="12">
        <f t="shared" si="33"/>
        <v>0</v>
      </c>
      <c r="R92" s="12">
        <f t="shared" si="33"/>
        <v>0</v>
      </c>
      <c r="S92" s="12">
        <f t="shared" si="33"/>
        <v>0</v>
      </c>
      <c r="T92" s="12">
        <f t="shared" si="33"/>
        <v>0</v>
      </c>
      <c r="U92" s="12">
        <f t="shared" si="33"/>
        <v>0</v>
      </c>
      <c r="V92" s="12">
        <f t="shared" si="33"/>
        <v>0</v>
      </c>
      <c r="W92" s="12">
        <f t="shared" si="33"/>
        <v>0</v>
      </c>
      <c r="X92" s="12">
        <f t="shared" si="33"/>
        <v>0</v>
      </c>
      <c r="Y92" s="12">
        <f t="shared" si="33"/>
        <v>0</v>
      </c>
      <c r="Z92" s="12">
        <f t="shared" si="33"/>
        <v>0</v>
      </c>
      <c r="AA92" s="12">
        <f t="shared" si="33"/>
        <v>0</v>
      </c>
      <c r="AB92" s="12">
        <f t="shared" si="33"/>
        <v>0</v>
      </c>
      <c r="AC92" s="12">
        <f t="shared" si="33"/>
        <v>0</v>
      </c>
      <c r="AD92" s="12">
        <f t="shared" si="33"/>
        <v>0</v>
      </c>
      <c r="AE92" s="12">
        <f t="shared" si="33"/>
        <v>0</v>
      </c>
      <c r="AF92" s="12">
        <f t="shared" si="33"/>
        <v>0</v>
      </c>
      <c r="AG92" s="12">
        <f t="shared" si="33"/>
        <v>0</v>
      </c>
      <c r="AH92" s="12">
        <f t="shared" si="33"/>
        <v>0</v>
      </c>
      <c r="AI92" s="12">
        <f t="shared" si="33"/>
        <v>0</v>
      </c>
      <c r="AJ92" s="12">
        <f t="shared" si="33"/>
        <v>0</v>
      </c>
      <c r="AK92" s="12">
        <f t="shared" si="33"/>
        <v>0</v>
      </c>
      <c r="AL92" s="12">
        <f t="shared" ref="AL92:BM92" si="34">$L$69*(AL75=$K$68)</f>
        <v>0</v>
      </c>
      <c r="AM92" s="12">
        <f t="shared" si="34"/>
        <v>0</v>
      </c>
      <c r="AN92" s="12">
        <f t="shared" si="34"/>
        <v>0</v>
      </c>
      <c r="AO92" s="12">
        <f t="shared" si="34"/>
        <v>0</v>
      </c>
      <c r="AP92" s="12">
        <f t="shared" si="34"/>
        <v>0</v>
      </c>
      <c r="AQ92" s="12">
        <f t="shared" si="34"/>
        <v>0</v>
      </c>
      <c r="AR92" s="12">
        <f t="shared" si="34"/>
        <v>0</v>
      </c>
      <c r="AS92" s="12">
        <f t="shared" si="34"/>
        <v>0</v>
      </c>
      <c r="AT92" s="12">
        <f t="shared" si="34"/>
        <v>0</v>
      </c>
      <c r="AU92" s="12">
        <f t="shared" si="34"/>
        <v>0</v>
      </c>
      <c r="AV92" s="12">
        <f t="shared" si="34"/>
        <v>0</v>
      </c>
      <c r="AW92" s="12">
        <f t="shared" si="34"/>
        <v>0</v>
      </c>
      <c r="AX92" s="12">
        <f t="shared" si="34"/>
        <v>0</v>
      </c>
      <c r="AY92" s="12">
        <f t="shared" si="34"/>
        <v>0</v>
      </c>
      <c r="AZ92" s="12">
        <f t="shared" si="34"/>
        <v>0</v>
      </c>
      <c r="BA92" s="12">
        <f t="shared" si="34"/>
        <v>0</v>
      </c>
      <c r="BB92" s="12">
        <f t="shared" si="34"/>
        <v>0</v>
      </c>
      <c r="BC92" s="12">
        <f t="shared" si="34"/>
        <v>0</v>
      </c>
      <c r="BD92" s="12">
        <f t="shared" si="34"/>
        <v>0</v>
      </c>
      <c r="BE92" s="12">
        <f t="shared" si="34"/>
        <v>0</v>
      </c>
      <c r="BF92" s="12">
        <f t="shared" si="34"/>
        <v>0</v>
      </c>
      <c r="BG92" s="12">
        <f t="shared" si="34"/>
        <v>0</v>
      </c>
      <c r="BH92" s="12">
        <f t="shared" si="34"/>
        <v>0</v>
      </c>
      <c r="BI92" s="12">
        <f t="shared" si="34"/>
        <v>0</v>
      </c>
      <c r="BJ92" s="12">
        <f t="shared" si="34"/>
        <v>0</v>
      </c>
      <c r="BK92" s="12">
        <f t="shared" si="34"/>
        <v>0</v>
      </c>
      <c r="BL92" s="12">
        <f t="shared" si="34"/>
        <v>0</v>
      </c>
      <c r="BM92" s="12">
        <f t="shared" si="34"/>
        <v>0</v>
      </c>
    </row>
    <row r="93" spans="2:65" s="1" customFormat="1" ht="10" x14ac:dyDescent="0.15">
      <c r="B93" s="12" t="s">
        <v>100</v>
      </c>
      <c r="E93" s="12"/>
      <c r="F93" s="12">
        <f t="shared" ref="F93:AK93" si="35">-F92*$K$70</f>
        <v>0</v>
      </c>
      <c r="G93" s="12">
        <f t="shared" si="35"/>
        <v>0</v>
      </c>
      <c r="H93" s="12">
        <f t="shared" si="35"/>
        <v>0</v>
      </c>
      <c r="I93" s="12">
        <f t="shared" si="35"/>
        <v>0</v>
      </c>
      <c r="J93" s="12">
        <f t="shared" si="35"/>
        <v>0</v>
      </c>
      <c r="K93" s="12">
        <f t="shared" si="35"/>
        <v>0</v>
      </c>
      <c r="L93" s="12">
        <f t="shared" si="35"/>
        <v>0</v>
      </c>
      <c r="M93" s="12">
        <f t="shared" si="35"/>
        <v>0</v>
      </c>
      <c r="N93" s="12">
        <f t="shared" si="35"/>
        <v>0</v>
      </c>
      <c r="O93" s="12">
        <f t="shared" si="35"/>
        <v>0</v>
      </c>
      <c r="P93" s="12">
        <f t="shared" si="35"/>
        <v>0</v>
      </c>
      <c r="Q93" s="12">
        <f t="shared" si="35"/>
        <v>0</v>
      </c>
      <c r="R93" s="12">
        <f t="shared" si="35"/>
        <v>0</v>
      </c>
      <c r="S93" s="12">
        <f t="shared" si="35"/>
        <v>0</v>
      </c>
      <c r="T93" s="12">
        <f t="shared" si="35"/>
        <v>0</v>
      </c>
      <c r="U93" s="12">
        <f t="shared" si="35"/>
        <v>0</v>
      </c>
      <c r="V93" s="12">
        <f t="shared" si="35"/>
        <v>0</v>
      </c>
      <c r="W93" s="12">
        <f t="shared" si="35"/>
        <v>0</v>
      </c>
      <c r="X93" s="12">
        <f t="shared" si="35"/>
        <v>0</v>
      </c>
      <c r="Y93" s="12">
        <f t="shared" si="35"/>
        <v>0</v>
      </c>
      <c r="Z93" s="12">
        <f t="shared" si="35"/>
        <v>0</v>
      </c>
      <c r="AA93" s="12">
        <f t="shared" si="35"/>
        <v>0</v>
      </c>
      <c r="AB93" s="12">
        <f t="shared" si="35"/>
        <v>0</v>
      </c>
      <c r="AC93" s="12">
        <f t="shared" si="35"/>
        <v>0</v>
      </c>
      <c r="AD93" s="12">
        <f t="shared" si="35"/>
        <v>0</v>
      </c>
      <c r="AE93" s="12">
        <f t="shared" si="35"/>
        <v>0</v>
      </c>
      <c r="AF93" s="12">
        <f t="shared" si="35"/>
        <v>0</v>
      </c>
      <c r="AG93" s="12">
        <f t="shared" si="35"/>
        <v>0</v>
      </c>
      <c r="AH93" s="12">
        <f t="shared" si="35"/>
        <v>0</v>
      </c>
      <c r="AI93" s="12">
        <f t="shared" si="35"/>
        <v>0</v>
      </c>
      <c r="AJ93" s="12">
        <f t="shared" si="35"/>
        <v>0</v>
      </c>
      <c r="AK93" s="12">
        <f t="shared" si="35"/>
        <v>0</v>
      </c>
      <c r="AL93" s="12">
        <f t="shared" ref="AL93:BM93" si="36">-AL92*$K$70</f>
        <v>0</v>
      </c>
      <c r="AM93" s="12">
        <f t="shared" si="36"/>
        <v>0</v>
      </c>
      <c r="AN93" s="12">
        <f t="shared" si="36"/>
        <v>0</v>
      </c>
      <c r="AO93" s="12">
        <f t="shared" si="36"/>
        <v>0</v>
      </c>
      <c r="AP93" s="12">
        <f t="shared" si="36"/>
        <v>0</v>
      </c>
      <c r="AQ93" s="12">
        <f t="shared" si="36"/>
        <v>0</v>
      </c>
      <c r="AR93" s="12">
        <f t="shared" si="36"/>
        <v>0</v>
      </c>
      <c r="AS93" s="12">
        <f t="shared" si="36"/>
        <v>0</v>
      </c>
      <c r="AT93" s="12">
        <f t="shared" si="36"/>
        <v>0</v>
      </c>
      <c r="AU93" s="12">
        <f t="shared" si="36"/>
        <v>0</v>
      </c>
      <c r="AV93" s="12">
        <f t="shared" si="36"/>
        <v>0</v>
      </c>
      <c r="AW93" s="12">
        <f t="shared" si="36"/>
        <v>0</v>
      </c>
      <c r="AX93" s="12">
        <f t="shared" si="36"/>
        <v>0</v>
      </c>
      <c r="AY93" s="12">
        <f t="shared" si="36"/>
        <v>0</v>
      </c>
      <c r="AZ93" s="12">
        <f t="shared" si="36"/>
        <v>0</v>
      </c>
      <c r="BA93" s="12">
        <f t="shared" si="36"/>
        <v>0</v>
      </c>
      <c r="BB93" s="12">
        <f t="shared" si="36"/>
        <v>0</v>
      </c>
      <c r="BC93" s="12">
        <f t="shared" si="36"/>
        <v>0</v>
      </c>
      <c r="BD93" s="12">
        <f t="shared" si="36"/>
        <v>0</v>
      </c>
      <c r="BE93" s="12">
        <f t="shared" si="36"/>
        <v>0</v>
      </c>
      <c r="BF93" s="12">
        <f t="shared" si="36"/>
        <v>0</v>
      </c>
      <c r="BG93" s="12">
        <f t="shared" si="36"/>
        <v>0</v>
      </c>
      <c r="BH93" s="12">
        <f t="shared" si="36"/>
        <v>0</v>
      </c>
      <c r="BI93" s="12">
        <f t="shared" si="36"/>
        <v>0</v>
      </c>
      <c r="BJ93" s="12">
        <f t="shared" si="36"/>
        <v>0</v>
      </c>
      <c r="BK93" s="12">
        <f t="shared" si="36"/>
        <v>0</v>
      </c>
      <c r="BL93" s="12">
        <f t="shared" si="36"/>
        <v>0</v>
      </c>
      <c r="BM93" s="12">
        <f t="shared" si="36"/>
        <v>0</v>
      </c>
    </row>
    <row r="94" spans="2:65" s="1" customFormat="1" ht="10" x14ac:dyDescent="0.15">
      <c r="B94" s="32" t="str">
        <f>N57</f>
        <v>Unlevered CF</v>
      </c>
      <c r="C94" s="36"/>
      <c r="D94" s="36"/>
      <c r="E94" s="13">
        <f t="shared" ref="E94:AJ94" si="37">SUM(E77:E93)</f>
        <v>-203999</v>
      </c>
      <c r="F94" s="13">
        <f t="shared" si="37"/>
        <v>0</v>
      </c>
      <c r="G94" s="13">
        <f t="shared" si="37"/>
        <v>0</v>
      </c>
      <c r="H94" s="13">
        <f t="shared" si="37"/>
        <v>0</v>
      </c>
      <c r="I94" s="13">
        <f t="shared" si="37"/>
        <v>0</v>
      </c>
      <c r="J94" s="13">
        <f t="shared" si="37"/>
        <v>0</v>
      </c>
      <c r="K94" s="13">
        <f t="shared" si="37"/>
        <v>0</v>
      </c>
      <c r="L94" s="13">
        <f t="shared" si="37"/>
        <v>0</v>
      </c>
      <c r="M94" s="13">
        <f t="shared" si="37"/>
        <v>0</v>
      </c>
      <c r="N94" s="13">
        <f t="shared" si="37"/>
        <v>0</v>
      </c>
      <c r="O94" s="13">
        <f t="shared" si="37"/>
        <v>0</v>
      </c>
      <c r="P94" s="13">
        <f t="shared" si="37"/>
        <v>0</v>
      </c>
      <c r="Q94" s="13">
        <f t="shared" si="37"/>
        <v>0</v>
      </c>
      <c r="R94" s="13">
        <f t="shared" si="37"/>
        <v>0</v>
      </c>
      <c r="S94" s="13">
        <f t="shared" si="37"/>
        <v>0</v>
      </c>
      <c r="T94" s="13">
        <f t="shared" si="37"/>
        <v>0</v>
      </c>
      <c r="U94" s="13">
        <f t="shared" si="37"/>
        <v>0</v>
      </c>
      <c r="V94" s="13">
        <f t="shared" si="37"/>
        <v>0</v>
      </c>
      <c r="W94" s="13">
        <f t="shared" si="37"/>
        <v>0</v>
      </c>
      <c r="X94" s="13">
        <f t="shared" si="37"/>
        <v>0</v>
      </c>
      <c r="Y94" s="13">
        <f t="shared" si="37"/>
        <v>0</v>
      </c>
      <c r="Z94" s="13">
        <f t="shared" si="37"/>
        <v>0</v>
      </c>
      <c r="AA94" s="13">
        <f t="shared" si="37"/>
        <v>0</v>
      </c>
      <c r="AB94" s="13">
        <f t="shared" si="37"/>
        <v>0</v>
      </c>
      <c r="AC94" s="13">
        <f t="shared" si="37"/>
        <v>0</v>
      </c>
      <c r="AD94" s="13">
        <f t="shared" si="37"/>
        <v>0</v>
      </c>
      <c r="AE94" s="13">
        <f t="shared" si="37"/>
        <v>0</v>
      </c>
      <c r="AF94" s="13">
        <f t="shared" si="37"/>
        <v>0</v>
      </c>
      <c r="AG94" s="13">
        <f t="shared" si="37"/>
        <v>0</v>
      </c>
      <c r="AH94" s="13">
        <f t="shared" si="37"/>
        <v>0</v>
      </c>
      <c r="AI94" s="13">
        <f t="shared" si="37"/>
        <v>0</v>
      </c>
      <c r="AJ94" s="13">
        <f t="shared" si="37"/>
        <v>0</v>
      </c>
      <c r="AK94" s="13">
        <f t="shared" ref="AK94:BM94" si="38">SUM(AK77:AK93)</f>
        <v>0</v>
      </c>
      <c r="AL94" s="13">
        <f t="shared" si="38"/>
        <v>0</v>
      </c>
      <c r="AM94" s="13">
        <f t="shared" si="38"/>
        <v>0</v>
      </c>
      <c r="AN94" s="13">
        <f t="shared" si="38"/>
        <v>0</v>
      </c>
      <c r="AO94" s="13">
        <f t="shared" si="38"/>
        <v>0</v>
      </c>
      <c r="AP94" s="13">
        <f t="shared" si="38"/>
        <v>0</v>
      </c>
      <c r="AQ94" s="13">
        <f t="shared" si="38"/>
        <v>0</v>
      </c>
      <c r="AR94" s="13">
        <f t="shared" si="38"/>
        <v>0</v>
      </c>
      <c r="AS94" s="13">
        <f t="shared" si="38"/>
        <v>0</v>
      </c>
      <c r="AT94" s="13">
        <f t="shared" si="38"/>
        <v>0</v>
      </c>
      <c r="AU94" s="13">
        <f t="shared" si="38"/>
        <v>0</v>
      </c>
      <c r="AV94" s="13">
        <f t="shared" si="38"/>
        <v>0</v>
      </c>
      <c r="AW94" s="13">
        <f t="shared" si="38"/>
        <v>0</v>
      </c>
      <c r="AX94" s="13">
        <f t="shared" si="38"/>
        <v>0</v>
      </c>
      <c r="AY94" s="13">
        <f t="shared" si="38"/>
        <v>0</v>
      </c>
      <c r="AZ94" s="13">
        <f t="shared" si="38"/>
        <v>0</v>
      </c>
      <c r="BA94" s="13">
        <f t="shared" si="38"/>
        <v>0</v>
      </c>
      <c r="BB94" s="13">
        <f t="shared" si="38"/>
        <v>0</v>
      </c>
      <c r="BC94" s="13">
        <f t="shared" si="38"/>
        <v>0</v>
      </c>
      <c r="BD94" s="13">
        <f t="shared" si="38"/>
        <v>0</v>
      </c>
      <c r="BE94" s="13">
        <f t="shared" si="38"/>
        <v>0</v>
      </c>
      <c r="BF94" s="13">
        <f t="shared" si="38"/>
        <v>0</v>
      </c>
      <c r="BG94" s="13">
        <f t="shared" si="38"/>
        <v>0</v>
      </c>
      <c r="BH94" s="13">
        <f t="shared" si="38"/>
        <v>0</v>
      </c>
      <c r="BI94" s="13">
        <f t="shared" si="38"/>
        <v>0</v>
      </c>
      <c r="BJ94" s="13">
        <f t="shared" si="38"/>
        <v>0</v>
      </c>
      <c r="BK94" s="13">
        <f t="shared" si="38"/>
        <v>0</v>
      </c>
      <c r="BL94" s="13">
        <f t="shared" si="38"/>
        <v>0</v>
      </c>
      <c r="BM94" s="13">
        <f t="shared" si="38"/>
        <v>0</v>
      </c>
    </row>
    <row r="95" spans="2:65" s="1" customFormat="1" ht="10" x14ac:dyDescent="0.15">
      <c r="B95" s="12" t="s">
        <v>80</v>
      </c>
      <c r="E95" s="12">
        <f>F49</f>
        <v>160000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0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</row>
    <row r="96" spans="2:65" s="1" customFormat="1" ht="10" x14ac:dyDescent="0.15">
      <c r="B96" s="12" t="s">
        <v>98</v>
      </c>
      <c r="E96" s="12">
        <f>IF(E75=0,-SUM(F52:F56),IF(E75=$F$50,-$F$57,0))</f>
        <v>0</v>
      </c>
      <c r="F96" s="12">
        <f t="shared" ref="F96:K96" si="39">IF(F75=0,-SUM(M29:M32),IF(F75=$F$50,-$F$57,0))</f>
        <v>0</v>
      </c>
      <c r="G96" s="12">
        <f t="shared" si="39"/>
        <v>0</v>
      </c>
      <c r="H96" s="12">
        <f t="shared" si="39"/>
        <v>0</v>
      </c>
      <c r="I96" s="12">
        <f t="shared" si="39"/>
        <v>0</v>
      </c>
      <c r="J96" s="12">
        <f t="shared" si="39"/>
        <v>0</v>
      </c>
      <c r="K96" s="12">
        <f t="shared" si="39"/>
        <v>0</v>
      </c>
      <c r="L96" s="12">
        <f>IF(L75=0,-SUM(T25:T29),IF(L75=$F$50,-$F$57,0))</f>
        <v>0</v>
      </c>
      <c r="M96" s="12">
        <f>IF(M75=0,-SUM(U25:U29),IF(M75=$F$50,-$F$57,0))</f>
        <v>0</v>
      </c>
      <c r="N96" s="12">
        <f>IF(N75=0,-SUM(U31:U32),IF(N75=$F$50,-$F$57,0))</f>
        <v>0</v>
      </c>
      <c r="O96" s="12">
        <f t="shared" ref="O96:Z96" si="40">IF(O75=0,-SUM(V29:V32),IF(O75=$F$50,-$F$57,0))</f>
        <v>0</v>
      </c>
      <c r="P96" s="12">
        <f t="shared" si="40"/>
        <v>0</v>
      </c>
      <c r="Q96" s="12">
        <f t="shared" si="40"/>
        <v>0</v>
      </c>
      <c r="R96" s="12">
        <f t="shared" si="40"/>
        <v>0</v>
      </c>
      <c r="S96" s="12">
        <f t="shared" si="40"/>
        <v>0</v>
      </c>
      <c r="T96" s="12">
        <f t="shared" si="40"/>
        <v>0</v>
      </c>
      <c r="U96" s="12">
        <f t="shared" si="40"/>
        <v>0</v>
      </c>
      <c r="V96" s="12">
        <f t="shared" si="40"/>
        <v>0</v>
      </c>
      <c r="W96" s="12">
        <f t="shared" si="40"/>
        <v>0</v>
      </c>
      <c r="X96" s="12">
        <f t="shared" si="40"/>
        <v>0</v>
      </c>
      <c r="Y96" s="12">
        <f t="shared" si="40"/>
        <v>0</v>
      </c>
      <c r="Z96" s="12">
        <f t="shared" si="40"/>
        <v>0</v>
      </c>
      <c r="AA96" s="12">
        <f>IF(AA75=0,-SUM(#REF!),IF(AA75=$F$50,-$F$57,0))</f>
        <v>0</v>
      </c>
      <c r="AB96" s="12">
        <f>IF(AB75=0,-SUM(#REF!),IF(AB75=$F$50,-$F$57,0))</f>
        <v>0</v>
      </c>
      <c r="AC96" s="12">
        <f t="shared" ref="AC96:BM96" si="41">IF(AC75=0,-SUM(AJ29:AJ32),IF(AC75=$F$50,-$F$57,0))</f>
        <v>0</v>
      </c>
      <c r="AD96" s="12">
        <f t="shared" si="41"/>
        <v>0</v>
      </c>
      <c r="AE96" s="12">
        <f t="shared" si="41"/>
        <v>0</v>
      </c>
      <c r="AF96" s="12">
        <f t="shared" si="41"/>
        <v>0</v>
      </c>
      <c r="AG96" s="12">
        <f t="shared" si="41"/>
        <v>0</v>
      </c>
      <c r="AH96" s="12">
        <f t="shared" si="41"/>
        <v>0</v>
      </c>
      <c r="AI96" s="12">
        <f t="shared" si="41"/>
        <v>0</v>
      </c>
      <c r="AJ96" s="12">
        <f t="shared" si="41"/>
        <v>0</v>
      </c>
      <c r="AK96" s="12">
        <f t="shared" si="41"/>
        <v>0</v>
      </c>
      <c r="AL96" s="12">
        <f t="shared" si="41"/>
        <v>0</v>
      </c>
      <c r="AM96" s="12">
        <f t="shared" si="41"/>
        <v>0</v>
      </c>
      <c r="AN96" s="12">
        <f t="shared" si="41"/>
        <v>0</v>
      </c>
      <c r="AO96" s="12">
        <f t="shared" si="41"/>
        <v>0</v>
      </c>
      <c r="AP96" s="12">
        <f t="shared" si="41"/>
        <v>0</v>
      </c>
      <c r="AQ96" s="12">
        <f t="shared" si="41"/>
        <v>0</v>
      </c>
      <c r="AR96" s="12">
        <f t="shared" si="41"/>
        <v>0</v>
      </c>
      <c r="AS96" s="12">
        <f t="shared" si="41"/>
        <v>0</v>
      </c>
      <c r="AT96" s="12">
        <f t="shared" si="41"/>
        <v>0</v>
      </c>
      <c r="AU96" s="12">
        <f t="shared" si="41"/>
        <v>0</v>
      </c>
      <c r="AV96" s="12">
        <f t="shared" si="41"/>
        <v>0</v>
      </c>
      <c r="AW96" s="12">
        <f t="shared" si="41"/>
        <v>0</v>
      </c>
      <c r="AX96" s="12">
        <f t="shared" si="41"/>
        <v>0</v>
      </c>
      <c r="AY96" s="12">
        <f t="shared" si="41"/>
        <v>0</v>
      </c>
      <c r="AZ96" s="12">
        <f t="shared" si="41"/>
        <v>0</v>
      </c>
      <c r="BA96" s="12">
        <f t="shared" si="41"/>
        <v>0</v>
      </c>
      <c r="BB96" s="12">
        <f t="shared" si="41"/>
        <v>0</v>
      </c>
      <c r="BC96" s="12">
        <f t="shared" si="41"/>
        <v>0</v>
      </c>
      <c r="BD96" s="12">
        <f t="shared" si="41"/>
        <v>0</v>
      </c>
      <c r="BE96" s="12">
        <f t="shared" si="41"/>
        <v>0</v>
      </c>
      <c r="BF96" s="12">
        <f t="shared" si="41"/>
        <v>0</v>
      </c>
      <c r="BG96" s="12">
        <f t="shared" si="41"/>
        <v>0</v>
      </c>
      <c r="BH96" s="12">
        <f t="shared" si="41"/>
        <v>0</v>
      </c>
      <c r="BI96" s="12">
        <f t="shared" si="41"/>
        <v>0</v>
      </c>
      <c r="BJ96" s="12">
        <f t="shared" si="41"/>
        <v>0</v>
      </c>
      <c r="BK96" s="12">
        <f t="shared" si="41"/>
        <v>0</v>
      </c>
      <c r="BL96" s="12">
        <f t="shared" si="41"/>
        <v>0</v>
      </c>
      <c r="BM96" s="12">
        <f t="shared" si="41"/>
        <v>0</v>
      </c>
    </row>
    <row r="97" spans="2:76" s="1" customFormat="1" ht="10" x14ac:dyDescent="0.15">
      <c r="B97" s="12" t="s">
        <v>16</v>
      </c>
      <c r="E97" s="12"/>
      <c r="F97" s="12">
        <f>-IF(COUNT(F$76:$F76)&lt;=$F$50,$F$51/12,0)</f>
        <v>0</v>
      </c>
      <c r="G97" s="12">
        <f>-IF(COUNT($F$76:G76)&lt;=$F$50,$F$51/12,0)</f>
        <v>0</v>
      </c>
      <c r="H97" s="12">
        <f>-IF(COUNT($F$76:H76)&lt;=$F$50,$F$51/12,0)</f>
        <v>0</v>
      </c>
      <c r="I97" s="12">
        <f>-IF(COUNT($F$76:I76)&lt;=$F$50,$F$51/12,0)</f>
        <v>0</v>
      </c>
      <c r="J97" s="12">
        <f>-IF(COUNT($F$76:J76)&lt;=$F$50,$F$51/12,0)</f>
        <v>0</v>
      </c>
      <c r="K97" s="12">
        <f>-IF(COUNT($F$76:K76)&lt;=$F$50,$F$51/12,0)</f>
        <v>0</v>
      </c>
      <c r="L97" s="12">
        <f>-IF(COUNT($F$76:L76)&lt;=$F$50,$F$51/12,0)</f>
        <v>0</v>
      </c>
      <c r="M97" s="12">
        <f>-IF(COUNT($F$76:M76)&lt;=$F$50,$F$51/12,0)</f>
        <v>0</v>
      </c>
      <c r="N97" s="12">
        <f>-IF(COUNT($F$76:N76)&lt;=$F$50,$F$51/12,0)</f>
        <v>0</v>
      </c>
      <c r="O97" s="12">
        <f>-IF(COUNT($F$76:O76)&lt;=$F$50,$F$51/12,0)</f>
        <v>0</v>
      </c>
      <c r="P97" s="12">
        <f>-IF(COUNT($F$76:P76)&lt;=$F$50,$F$51/12,0)</f>
        <v>0</v>
      </c>
      <c r="Q97" s="12">
        <f>-IF(COUNT($F$76:Q76)&lt;=$F$50,$F$51/12,0)</f>
        <v>0</v>
      </c>
      <c r="R97" s="12">
        <f>-IF(COUNT($F$76:R76)&lt;=$F$50,$F$51/12,0)</f>
        <v>0</v>
      </c>
      <c r="S97" s="12">
        <f>-IF(COUNT($F$76:S76)&lt;=$F$50,$F$51/12,0)</f>
        <v>0</v>
      </c>
      <c r="T97" s="12">
        <f>-IF(COUNT($F$76:T76)&lt;=$F$50,$F$51/12,0)</f>
        <v>0</v>
      </c>
      <c r="U97" s="12">
        <f>-IF(COUNT($F$76:U76)&lt;=$F$50,$F$51/12,0)</f>
        <v>0</v>
      </c>
      <c r="V97" s="12">
        <f>-IF(COUNT($F$76:V76)&lt;=$F$50,$F$51/12,0)</f>
        <v>0</v>
      </c>
      <c r="W97" s="12">
        <f>-IF(COUNT($F$76:W76)&lt;=$F$50,$F$51/12,0)</f>
        <v>0</v>
      </c>
      <c r="X97" s="12">
        <f>-IF(COUNT($F$76:X76)&lt;=$F$50,$F$51/12,0)</f>
        <v>0</v>
      </c>
      <c r="Y97" s="12">
        <f>-IF(COUNT($F$76:Y76)&lt;=$F$50,$F$51/12,0)</f>
        <v>0</v>
      </c>
      <c r="Z97" s="12">
        <f>-IF(COUNT($F$76:Z76)&lt;=$F$50,$F$51/12,0)</f>
        <v>0</v>
      </c>
      <c r="AA97" s="12">
        <f>-IF(COUNT($F$76:AA76)&lt;=$F$50,$F$51/12,0)</f>
        <v>0</v>
      </c>
      <c r="AB97" s="12">
        <f>-IF(COUNT($F$76:AB76)&lt;=$F$50,$F$51/12,0)</f>
        <v>0</v>
      </c>
      <c r="AC97" s="12">
        <f>-IF(COUNT($F$76:AC76)&lt;=$F$50,$F$51/12,0)</f>
        <v>0</v>
      </c>
      <c r="AD97" s="12">
        <f>-IF(COUNT($F$76:AD76)&lt;=$F$50,$F$51/12,0)</f>
        <v>0</v>
      </c>
      <c r="AE97" s="12">
        <f>-IF(COUNT($F$76:AE76)&lt;=$F$50,$F$51/12,0)</f>
        <v>0</v>
      </c>
      <c r="AF97" s="12">
        <f>-IF(COUNT($F$76:AF76)&lt;=$F$50,$F$51/12,0)</f>
        <v>0</v>
      </c>
      <c r="AG97" s="12">
        <f>-IF(COUNT($F$76:AG76)&lt;=$F$50,$F$51/12,0)</f>
        <v>0</v>
      </c>
      <c r="AH97" s="12">
        <f>-IF(COUNT($F$76:AH76)&lt;=$F$50,$F$51/12,0)</f>
        <v>0</v>
      </c>
      <c r="AI97" s="12">
        <f>-IF(COUNT($F$76:AI76)&lt;=$F$50,$F$51/12,0)</f>
        <v>0</v>
      </c>
      <c r="AJ97" s="12">
        <f>-IF(COUNT($F$76:AJ76)&lt;=$F$50,$F$51/12,0)</f>
        <v>0</v>
      </c>
      <c r="AK97" s="12">
        <f>-IF(COUNT($F$76:AK76)&lt;=$F$50,$F$51/12,0)</f>
        <v>0</v>
      </c>
      <c r="AL97" s="12">
        <f>-IF(COUNT($F$76:AL76)&lt;=$F$50,$F$51/12,0)</f>
        <v>0</v>
      </c>
      <c r="AM97" s="12">
        <f>-IF(COUNT($F$76:AM76)&lt;=$F$50,$F$51/12,0)</f>
        <v>0</v>
      </c>
      <c r="AN97" s="12">
        <f>-IF(COUNT($F$76:AN76)&lt;=$F$50,$F$51/12,0)</f>
        <v>0</v>
      </c>
      <c r="AO97" s="12">
        <f>-IF(COUNT($F$76:AO76)&lt;=$F$50,$F$51/12,0)</f>
        <v>0</v>
      </c>
      <c r="AP97" s="12">
        <f>-IF(COUNT($F$76:AP76)&lt;=$F$50,$F$51/12,0)</f>
        <v>0</v>
      </c>
      <c r="AQ97" s="12">
        <f>-IF(COUNT($F$76:AQ76)&lt;=$F$50,$F$51/12,0)</f>
        <v>0</v>
      </c>
      <c r="AR97" s="12">
        <f>-IF(COUNT($F$76:AR76)&lt;=$F$50,$F$51/12,0)</f>
        <v>0</v>
      </c>
      <c r="AS97" s="12">
        <f>-IF(COUNT($F$76:AS76)&lt;=$F$50,$F$51/12,0)</f>
        <v>0</v>
      </c>
      <c r="AT97" s="12">
        <f>-IF(COUNT($F$76:AT76)&lt;=$F$50,$F$51/12,0)</f>
        <v>0</v>
      </c>
      <c r="AU97" s="12">
        <f>-IF(COUNT($F$76:AU76)&lt;=$F$50,$F$51/12,0)</f>
        <v>0</v>
      </c>
      <c r="AV97" s="12">
        <f>-IF(COUNT($F$76:AV76)&lt;=$F$50,$F$51/12,0)</f>
        <v>0</v>
      </c>
      <c r="AW97" s="12">
        <f>-IF(COUNT($F$76:AW76)&lt;=$F$50,$F$51/12,0)</f>
        <v>0</v>
      </c>
      <c r="AX97" s="12">
        <f>-IF(COUNT($F$76:AX76)&lt;=$F$50,$F$51/12,0)</f>
        <v>0</v>
      </c>
      <c r="AY97" s="12">
        <f>-IF(COUNT($F$76:AY76)&lt;=$F$50,$F$51/12,0)</f>
        <v>0</v>
      </c>
      <c r="AZ97" s="12">
        <f>-IF(COUNT($F$76:AZ76)&lt;=$F$50,$F$51/12,0)</f>
        <v>0</v>
      </c>
      <c r="BA97" s="12">
        <f>-IF(COUNT($F$76:BA76)&lt;=$F$50,$F$51/12,0)</f>
        <v>0</v>
      </c>
      <c r="BB97" s="12">
        <f>-IF(COUNT($F$76:BB76)&lt;=$F$50,$F$51/12,0)</f>
        <v>0</v>
      </c>
      <c r="BC97" s="12">
        <f>-IF(COUNT($F$76:BC76)&lt;=$F$50,$F$51/12,0)</f>
        <v>0</v>
      </c>
      <c r="BD97" s="12">
        <f>-IF(COUNT($F$76:BD76)&lt;=$F$50,$F$51/12,0)</f>
        <v>0</v>
      </c>
      <c r="BE97" s="12">
        <f>-IF(COUNT($F$76:BE76)&lt;=$F$50,$F$51/12,0)</f>
        <v>0</v>
      </c>
      <c r="BF97" s="12">
        <f>-IF(COUNT($F$76:BF76)&lt;=$F$50,$F$51/12,0)</f>
        <v>0</v>
      </c>
      <c r="BG97" s="12">
        <f>-IF(COUNT($F$76:BG76)&lt;=$F$50,$F$51/12,0)</f>
        <v>0</v>
      </c>
      <c r="BH97" s="12">
        <f>-IF(COUNT($F$76:BH76)&lt;=$F$50,$F$51/12,0)</f>
        <v>0</v>
      </c>
      <c r="BI97" s="12">
        <f>-IF(COUNT($F$76:BI76)&lt;=$F$50,$F$51/12,0)</f>
        <v>0</v>
      </c>
      <c r="BJ97" s="12">
        <f>-IF(COUNT($F$76:BJ76)&lt;=$F$50,$F$51/12,0)</f>
        <v>0</v>
      </c>
      <c r="BK97" s="12">
        <f>-IF(COUNT($F$76:BK76)&lt;=$F$50,$F$51/12,0)</f>
        <v>0</v>
      </c>
      <c r="BL97" s="12">
        <f>-IF(COUNT($F$76:BL76)&lt;=$F$50,$F$51/12,0)</f>
        <v>0</v>
      </c>
      <c r="BM97" s="12">
        <f>-IF(COUNT($F$76:BM76)&lt;=$F$50,$F$51/12,0)</f>
        <v>0</v>
      </c>
    </row>
    <row r="98" spans="2:76" s="1" customFormat="1" ht="10" x14ac:dyDescent="0.15">
      <c r="B98" s="12" t="s">
        <v>82</v>
      </c>
      <c r="E98" s="12">
        <f>-IF(COUNT(E$76:$F76)=$F$50,$F$49,0)</f>
        <v>0</v>
      </c>
      <c r="F98" s="12">
        <f>-IF(COUNT(F$76:$F76)=$F$50,$F$49,0)</f>
        <v>0</v>
      </c>
      <c r="G98" s="12">
        <f>-IF(COUNT($F$76:G76)=$F$50,$F$49,0)</f>
        <v>0</v>
      </c>
      <c r="H98" s="12">
        <f>-IF(COUNT($F$76:H76)=$F$50,$F$49,0)</f>
        <v>0</v>
      </c>
      <c r="I98" s="12">
        <f>-IF(COUNT($F$76:I76)=$F$50,$F$49,0)</f>
        <v>0</v>
      </c>
      <c r="J98" s="12">
        <f>-IF(COUNT($F$76:J76)=$F$50,$F$49,0)</f>
        <v>0</v>
      </c>
      <c r="K98" s="12">
        <f>-IF(COUNT($F$76:K76)=$F$50,$F$49,0)</f>
        <v>0</v>
      </c>
      <c r="L98" s="12">
        <f>-IF(COUNT($F$76:L76)=$F$50,$F$49,0)</f>
        <v>0</v>
      </c>
      <c r="M98" s="12">
        <f>-IF(COUNT($F$76:M76)=$F$50,$F$49,0)</f>
        <v>0</v>
      </c>
      <c r="N98" s="12">
        <f>-IF(COUNT($F$76:N76)=$F$50,$F$49,0)</f>
        <v>0</v>
      </c>
      <c r="O98" s="12">
        <f>-IF(COUNT($F$76:O76)=$F$50,$F$49,0)</f>
        <v>0</v>
      </c>
      <c r="P98" s="12">
        <f>-IF(COUNT($F$76:P76)=$F$50,$F$49,0)</f>
        <v>0</v>
      </c>
      <c r="Q98" s="12">
        <f>-IF(COUNT($F$76:Q76)=$F$50,$F$49,0)</f>
        <v>0</v>
      </c>
      <c r="R98" s="12">
        <f>-IF(COUNT($F$76:R76)=$F$50,$F$49,0)</f>
        <v>0</v>
      </c>
      <c r="S98" s="12">
        <f>-IF(COUNT($F$76:S76)=$F$50,$F$49,0)</f>
        <v>0</v>
      </c>
      <c r="T98" s="12">
        <f>-IF(COUNT($F$76:T76)=$F$50,$F$49,0)</f>
        <v>0</v>
      </c>
      <c r="U98" s="12">
        <f>-IF(COUNT($F$76:U76)=$F$50,$F$49,0)</f>
        <v>0</v>
      </c>
      <c r="V98" s="12">
        <f>-IF(COUNT($F$76:V76)=$F$50,$F$49,0)</f>
        <v>0</v>
      </c>
      <c r="W98" s="12">
        <f>-IF(COUNT($F$76:W76)=$F$50,$F$49,0)</f>
        <v>0</v>
      </c>
      <c r="X98" s="12">
        <f>-IF(COUNT($F$76:X76)=$F$50,$F$49,0)</f>
        <v>0</v>
      </c>
      <c r="Y98" s="12">
        <f>-IF(COUNT($F$76:Y76)=$F$50,$F$49,0)</f>
        <v>0</v>
      </c>
      <c r="Z98" s="12">
        <f>-IF(COUNT($F$76:Z76)=$F$50,$F$49,0)</f>
        <v>0</v>
      </c>
      <c r="AA98" s="12">
        <f>-IF(COUNT($F$76:AA76)=$F$50,$F$49,0)</f>
        <v>0</v>
      </c>
      <c r="AB98" s="12">
        <f>-IF(COUNT($F$76:AB76)=$F$50,$F$49,0)</f>
        <v>0</v>
      </c>
      <c r="AC98" s="12">
        <f>-IF(COUNT($F$76:AC76)=$F$50,$F$49,0)</f>
        <v>0</v>
      </c>
      <c r="AD98" s="12">
        <f>-IF(COUNT($F$76:AD76)=$F$50,$F$49,0)</f>
        <v>0</v>
      </c>
      <c r="AE98" s="12">
        <f>-IF(COUNT($F$76:AE76)=$F$50,$F$49,0)</f>
        <v>0</v>
      </c>
      <c r="AF98" s="12">
        <f>-IF(COUNT($F$76:AF76)=$F$50,$F$49,0)</f>
        <v>0</v>
      </c>
      <c r="AG98" s="12">
        <f>-IF(COUNT($F$76:AG76)=$F$50,$F$49,0)</f>
        <v>0</v>
      </c>
      <c r="AH98" s="12">
        <f>-IF(COUNT($F$76:AH76)=$F$50,$F$49,0)</f>
        <v>0</v>
      </c>
      <c r="AI98" s="12">
        <f>-IF(COUNT($F$76:AI76)=$F$50,$F$49,0)</f>
        <v>0</v>
      </c>
      <c r="AJ98" s="12">
        <f>-IF(COUNT($F$76:AJ76)=$F$50,$F$49,0)</f>
        <v>0</v>
      </c>
      <c r="AK98" s="12">
        <f>-IF(COUNT($F$76:AK76)=$F$50,$F$49,0)</f>
        <v>0</v>
      </c>
      <c r="AL98" s="12">
        <f>-IF(COUNT($F$76:AL76)=$F$50,$F$49,0)</f>
        <v>0</v>
      </c>
      <c r="AM98" s="12">
        <f>-IF(COUNT($F$76:AM76)=$F$50,$F$49,0)</f>
        <v>0</v>
      </c>
      <c r="AN98" s="12">
        <f>-IF(COUNT($F$76:AN76)=$F$50,$F$49,0)</f>
        <v>0</v>
      </c>
      <c r="AO98" s="12">
        <f>-IF(COUNT($F$76:AO76)=$F$50,$F$49,0)</f>
        <v>0</v>
      </c>
      <c r="AP98" s="12">
        <f>-IF(COUNT($F$76:AP76)=$F$50,$F$49,0)</f>
        <v>0</v>
      </c>
      <c r="AQ98" s="12">
        <f>-IF(COUNT($F$76:AQ76)=$F$50,$F$49,0)</f>
        <v>0</v>
      </c>
      <c r="AR98" s="12">
        <f>-IF(COUNT($F$76:AR76)=$F$50,$F$49,0)</f>
        <v>0</v>
      </c>
      <c r="AS98" s="12">
        <f>-IF(COUNT($F$76:AS76)=$F$50,$F$49,0)</f>
        <v>0</v>
      </c>
      <c r="AT98" s="12">
        <f>-IF(COUNT($F$76:AT76)=$F$50,$F$49,0)</f>
        <v>0</v>
      </c>
      <c r="AU98" s="12">
        <f>-IF(COUNT($F$76:AU76)=$F$50,$F$49,0)</f>
        <v>0</v>
      </c>
      <c r="AV98" s="12">
        <f>-IF(COUNT($F$76:AV76)=$F$50,$F$49,0)</f>
        <v>0</v>
      </c>
      <c r="AW98" s="12">
        <f>-IF(COUNT($F$76:AW76)=$F$50,$F$49,0)</f>
        <v>0</v>
      </c>
      <c r="AX98" s="12">
        <f>-IF(COUNT($F$76:AX76)=$F$50,$F$49,0)</f>
        <v>0</v>
      </c>
      <c r="AY98" s="12">
        <f>-IF(COUNT($F$76:AY76)=$F$50,$F$49,0)</f>
        <v>0</v>
      </c>
      <c r="AZ98" s="12">
        <f>-IF(COUNT($F$76:AZ76)=$F$50,$F$49,0)</f>
        <v>0</v>
      </c>
      <c r="BA98" s="12">
        <f>-IF(COUNT($F$76:BA76)=$F$50,$F$49,0)</f>
        <v>0</v>
      </c>
      <c r="BB98" s="12">
        <f>-IF(COUNT($F$76:BB76)=$F$50,$F$49,0)</f>
        <v>0</v>
      </c>
      <c r="BC98" s="12">
        <f>-IF(COUNT($F$76:BC76)=$F$50,$F$49,0)</f>
        <v>0</v>
      </c>
      <c r="BD98" s="12">
        <f>-IF(COUNT($F$76:BD76)=$F$50,$F$49,0)</f>
        <v>0</v>
      </c>
      <c r="BE98" s="12">
        <f>-IF(COUNT($F$76:BE76)=$F$50,$F$49,0)</f>
        <v>0</v>
      </c>
      <c r="BF98" s="12">
        <f>-IF(COUNT($F$76:BF76)=$F$50,$F$49,0)</f>
        <v>0</v>
      </c>
      <c r="BG98" s="12">
        <f>-IF(COUNT($F$76:BG76)=$F$50,$F$49,0)</f>
        <v>0</v>
      </c>
      <c r="BH98" s="12">
        <f>-IF(COUNT($F$76:BH76)=$F$50,$F$49,0)</f>
        <v>0</v>
      </c>
      <c r="BI98" s="12">
        <f>-IF(COUNT($F$76:BI76)=$F$50,$F$49,0)</f>
        <v>0</v>
      </c>
      <c r="BJ98" s="12">
        <f>-IF(COUNT($F$76:BJ76)=$F$50,$F$49,0)</f>
        <v>0</v>
      </c>
      <c r="BK98" s="12">
        <f>-IF(COUNT($F$76:BK76)=$F$50,$F$49,0)</f>
        <v>0</v>
      </c>
      <c r="BL98" s="12">
        <f>-IF(COUNT($F$76:BL76)=$F$50,$F$49,0)</f>
        <v>0</v>
      </c>
      <c r="BM98" s="12">
        <f>-IF(COUNT($F$76:BM76)=$F$50,$F$49,0)</f>
        <v>0</v>
      </c>
    </row>
    <row r="99" spans="2:76" s="1" customFormat="1" ht="10" x14ac:dyDescent="0.15">
      <c r="B99" s="48" t="s">
        <v>81</v>
      </c>
      <c r="C99" s="49"/>
      <c r="D99" s="49"/>
      <c r="E99" s="48">
        <f>F66</f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0</v>
      </c>
      <c r="AR99" s="48">
        <v>0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0</v>
      </c>
      <c r="BD99" s="48">
        <v>0</v>
      </c>
      <c r="BE99" s="48">
        <v>0</v>
      </c>
      <c r="BF99" s="48">
        <v>0</v>
      </c>
      <c r="BG99" s="48">
        <v>0</v>
      </c>
      <c r="BH99" s="48">
        <v>0</v>
      </c>
      <c r="BI99" s="48">
        <v>0</v>
      </c>
      <c r="BJ99" s="48">
        <v>0</v>
      </c>
      <c r="BK99" s="48">
        <v>0</v>
      </c>
      <c r="BL99" s="48">
        <v>0</v>
      </c>
      <c r="BM99" s="48">
        <v>0</v>
      </c>
    </row>
    <row r="100" spans="2:76" s="1" customFormat="1" ht="10" x14ac:dyDescent="0.15">
      <c r="B100" s="48" t="str">
        <f>B96</f>
        <v>Lender Fees</v>
      </c>
      <c r="C100" s="49"/>
      <c r="D100" s="49"/>
      <c r="E100" s="48">
        <f t="shared" ref="E100:AJ100" si="42">IF(E75=0,-$F$69,0)</f>
        <v>0</v>
      </c>
      <c r="F100" s="48">
        <f t="shared" si="42"/>
        <v>0</v>
      </c>
      <c r="G100" s="48">
        <f t="shared" si="42"/>
        <v>0</v>
      </c>
      <c r="H100" s="48">
        <f t="shared" si="42"/>
        <v>0</v>
      </c>
      <c r="I100" s="48">
        <f t="shared" si="42"/>
        <v>0</v>
      </c>
      <c r="J100" s="48">
        <f t="shared" si="42"/>
        <v>0</v>
      </c>
      <c r="K100" s="48">
        <f t="shared" si="42"/>
        <v>0</v>
      </c>
      <c r="L100" s="48">
        <f t="shared" si="42"/>
        <v>0</v>
      </c>
      <c r="M100" s="48">
        <f t="shared" si="42"/>
        <v>0</v>
      </c>
      <c r="N100" s="48">
        <f t="shared" si="42"/>
        <v>0</v>
      </c>
      <c r="O100" s="48">
        <f t="shared" si="42"/>
        <v>0</v>
      </c>
      <c r="P100" s="48">
        <f t="shared" si="42"/>
        <v>0</v>
      </c>
      <c r="Q100" s="48">
        <f t="shared" si="42"/>
        <v>0</v>
      </c>
      <c r="R100" s="48">
        <f t="shared" si="42"/>
        <v>0</v>
      </c>
      <c r="S100" s="48">
        <f t="shared" si="42"/>
        <v>0</v>
      </c>
      <c r="T100" s="48">
        <f t="shared" si="42"/>
        <v>0</v>
      </c>
      <c r="U100" s="48">
        <f t="shared" si="42"/>
        <v>0</v>
      </c>
      <c r="V100" s="48">
        <f t="shared" si="42"/>
        <v>0</v>
      </c>
      <c r="W100" s="48">
        <f t="shared" si="42"/>
        <v>0</v>
      </c>
      <c r="X100" s="48">
        <f t="shared" si="42"/>
        <v>0</v>
      </c>
      <c r="Y100" s="48">
        <f t="shared" si="42"/>
        <v>0</v>
      </c>
      <c r="Z100" s="48">
        <f t="shared" si="42"/>
        <v>0</v>
      </c>
      <c r="AA100" s="48">
        <f t="shared" si="42"/>
        <v>0</v>
      </c>
      <c r="AB100" s="48">
        <f t="shared" si="42"/>
        <v>0</v>
      </c>
      <c r="AC100" s="48">
        <f t="shared" si="42"/>
        <v>0</v>
      </c>
      <c r="AD100" s="48">
        <f t="shared" si="42"/>
        <v>0</v>
      </c>
      <c r="AE100" s="48">
        <f t="shared" si="42"/>
        <v>0</v>
      </c>
      <c r="AF100" s="48">
        <f t="shared" si="42"/>
        <v>0</v>
      </c>
      <c r="AG100" s="48">
        <f t="shared" si="42"/>
        <v>0</v>
      </c>
      <c r="AH100" s="48">
        <f t="shared" si="42"/>
        <v>0</v>
      </c>
      <c r="AI100" s="48">
        <f t="shared" si="42"/>
        <v>0</v>
      </c>
      <c r="AJ100" s="48">
        <f t="shared" si="42"/>
        <v>0</v>
      </c>
      <c r="AK100" s="48">
        <f t="shared" ref="AK100:BM100" si="43">IF(AK75=0,-$F$69,0)</f>
        <v>0</v>
      </c>
      <c r="AL100" s="48">
        <f t="shared" si="43"/>
        <v>0</v>
      </c>
      <c r="AM100" s="48">
        <f t="shared" si="43"/>
        <v>0</v>
      </c>
      <c r="AN100" s="48">
        <f t="shared" si="43"/>
        <v>0</v>
      </c>
      <c r="AO100" s="48">
        <f t="shared" si="43"/>
        <v>0</v>
      </c>
      <c r="AP100" s="48">
        <f t="shared" si="43"/>
        <v>0</v>
      </c>
      <c r="AQ100" s="48">
        <f t="shared" si="43"/>
        <v>0</v>
      </c>
      <c r="AR100" s="48">
        <f t="shared" si="43"/>
        <v>0</v>
      </c>
      <c r="AS100" s="48">
        <f t="shared" si="43"/>
        <v>0</v>
      </c>
      <c r="AT100" s="48">
        <f t="shared" si="43"/>
        <v>0</v>
      </c>
      <c r="AU100" s="48">
        <f t="shared" si="43"/>
        <v>0</v>
      </c>
      <c r="AV100" s="48">
        <f t="shared" si="43"/>
        <v>0</v>
      </c>
      <c r="AW100" s="48">
        <f t="shared" si="43"/>
        <v>0</v>
      </c>
      <c r="AX100" s="48">
        <f t="shared" si="43"/>
        <v>0</v>
      </c>
      <c r="AY100" s="48">
        <f t="shared" si="43"/>
        <v>0</v>
      </c>
      <c r="AZ100" s="48">
        <f t="shared" si="43"/>
        <v>0</v>
      </c>
      <c r="BA100" s="48">
        <f t="shared" si="43"/>
        <v>0</v>
      </c>
      <c r="BB100" s="48">
        <f t="shared" si="43"/>
        <v>0</v>
      </c>
      <c r="BC100" s="48">
        <f t="shared" si="43"/>
        <v>0</v>
      </c>
      <c r="BD100" s="48">
        <f t="shared" si="43"/>
        <v>0</v>
      </c>
      <c r="BE100" s="48">
        <f t="shared" si="43"/>
        <v>0</v>
      </c>
      <c r="BF100" s="48">
        <f t="shared" si="43"/>
        <v>0</v>
      </c>
      <c r="BG100" s="48">
        <f t="shared" si="43"/>
        <v>0</v>
      </c>
      <c r="BH100" s="48">
        <f t="shared" si="43"/>
        <v>0</v>
      </c>
      <c r="BI100" s="48">
        <f t="shared" si="43"/>
        <v>0</v>
      </c>
      <c r="BJ100" s="48">
        <f t="shared" si="43"/>
        <v>0</v>
      </c>
      <c r="BK100" s="48">
        <f t="shared" si="43"/>
        <v>0</v>
      </c>
      <c r="BL100" s="48">
        <f t="shared" si="43"/>
        <v>0</v>
      </c>
      <c r="BM100" s="48">
        <f t="shared" si="43"/>
        <v>0</v>
      </c>
    </row>
    <row r="101" spans="2:76" s="1" customFormat="1" ht="10" x14ac:dyDescent="0.15">
      <c r="B101" s="48" t="str">
        <f>B97</f>
        <v>Interest</v>
      </c>
      <c r="C101" s="49"/>
      <c r="D101" s="49"/>
      <c r="E101" s="48"/>
      <c r="F101" s="48">
        <f>-IF(COUNT(F$76:$F76)&lt;=$F$67,$F$68/12,0)</f>
        <v>0</v>
      </c>
      <c r="G101" s="48">
        <f>-IF(COUNT($F$76:G76)&lt;=$F$67,$F$68/12,0)</f>
        <v>0</v>
      </c>
      <c r="H101" s="48">
        <f>-IF(COUNT($F$76:H76)&lt;=$F$67,$F$68/12,0)</f>
        <v>0</v>
      </c>
      <c r="I101" s="48">
        <f>-IF(COUNT($F$76:I76)&lt;=$F$67,$F$68/12,0)</f>
        <v>0</v>
      </c>
      <c r="J101" s="48">
        <f>-IF(COUNT($F$76:J76)&lt;=$F$67,$F$68/12,0)</f>
        <v>0</v>
      </c>
      <c r="K101" s="48">
        <f>-IF(COUNT($F$76:K76)&lt;=$F$67,$F$68/12,0)</f>
        <v>0</v>
      </c>
      <c r="L101" s="48">
        <f>-IF(COUNT($F$76:L76)&lt;=$F$67,$F$68/12,0)</f>
        <v>0</v>
      </c>
      <c r="M101" s="48">
        <f>-IF(COUNT($F$76:M76)&lt;=$F$67,$F$68/12,0)</f>
        <v>0</v>
      </c>
      <c r="N101" s="48">
        <f>-IF(COUNT($F$76:N76)&lt;=$F$67,$F$68/12,0)</f>
        <v>0</v>
      </c>
      <c r="O101" s="48">
        <f>-IF(COUNT($F$76:O76)&lt;=$F$67,$F$68/12,0)</f>
        <v>0</v>
      </c>
      <c r="P101" s="48">
        <f>-IF(COUNT($F$76:P76)&lt;=$F$67,$F$68/12,0)</f>
        <v>0</v>
      </c>
      <c r="Q101" s="48">
        <f>-IF(COUNT($F$76:Q76)&lt;=$F$67,$F$68/12,0)</f>
        <v>0</v>
      </c>
      <c r="R101" s="48">
        <f>-IF(COUNT($F$76:R76)&lt;=$F$67,$F$68/12,0)</f>
        <v>0</v>
      </c>
      <c r="S101" s="48">
        <f>-IF(COUNT($F$76:S76)&lt;=$F$67,$F$68/12,0)</f>
        <v>0</v>
      </c>
      <c r="T101" s="48">
        <f>-IF(COUNT($F$76:T76)&lt;=$F$67,$F$68/12,0)</f>
        <v>0</v>
      </c>
      <c r="U101" s="48">
        <f>-IF(COUNT($F$76:U76)&lt;=$F$67,$F$68/12,0)</f>
        <v>0</v>
      </c>
      <c r="V101" s="48">
        <f>-IF(COUNT($F$76:V76)&lt;=$F$67,$F$68/12,0)</f>
        <v>0</v>
      </c>
      <c r="W101" s="48">
        <f>-IF(COUNT($F$76:W76)&lt;=$F$67,$F$68/12,0)</f>
        <v>0</v>
      </c>
      <c r="X101" s="48">
        <f>-IF(COUNT($F$76:X76)&lt;=$F$67,$F$68/12,0)</f>
        <v>0</v>
      </c>
      <c r="Y101" s="48">
        <f>-IF(COUNT($F$76:Y76)&lt;=$F$67,$F$68/12,0)</f>
        <v>0</v>
      </c>
      <c r="Z101" s="48">
        <f>-IF(COUNT($F$76:Z76)&lt;=$F$67,$F$68/12,0)</f>
        <v>0</v>
      </c>
      <c r="AA101" s="48">
        <f>-IF(COUNT($F$76:AA76)&lt;=$F$67,$F$68/12,0)</f>
        <v>0</v>
      </c>
      <c r="AB101" s="48">
        <f>-IF(COUNT($F$76:AB76)&lt;=$F$67,$F$68/12,0)</f>
        <v>0</v>
      </c>
      <c r="AC101" s="48">
        <f>-IF(COUNT($F$76:AC76)&lt;=$F$67,$F$68/12,0)</f>
        <v>0</v>
      </c>
      <c r="AD101" s="48">
        <f>-IF(COUNT($F$76:AD76)&lt;=$F$67,$F$68/12,0)</f>
        <v>0</v>
      </c>
      <c r="AE101" s="48">
        <f>-IF(COUNT($F$76:AE76)&lt;=$F$67,$F$68/12,0)</f>
        <v>0</v>
      </c>
      <c r="AF101" s="48">
        <f>-IF(COUNT($F$76:AF76)&lt;=$F$67,$F$68/12,0)</f>
        <v>0</v>
      </c>
      <c r="AG101" s="48">
        <f>-IF(COUNT($F$76:AG76)&lt;=$F$67,$F$68/12,0)</f>
        <v>0</v>
      </c>
      <c r="AH101" s="48">
        <f>-IF(COUNT($F$76:AH76)&lt;=$F$67,$F$68/12,0)</f>
        <v>0</v>
      </c>
      <c r="AI101" s="48">
        <f>-IF(COUNT($F$76:AI76)&lt;=$F$67,$F$68/12,0)</f>
        <v>0</v>
      </c>
      <c r="AJ101" s="48">
        <f>-IF(COUNT($F$76:AJ76)&lt;=$F$67,$F$68/12,0)</f>
        <v>0</v>
      </c>
      <c r="AK101" s="48">
        <f>-IF(COUNT($F$76:AK76)&lt;=$F$67,$F$68/12,0)</f>
        <v>0</v>
      </c>
      <c r="AL101" s="48">
        <f>-IF(COUNT($F$76:AL76)&lt;=$F$67,$F$68/12,0)</f>
        <v>0</v>
      </c>
      <c r="AM101" s="48">
        <f>-IF(COUNT($F$76:AM76)&lt;=$F$67,$F$68/12,0)</f>
        <v>0</v>
      </c>
      <c r="AN101" s="48">
        <f>-IF(COUNT($F$76:AN76)&lt;=$F$67,$F$68/12,0)</f>
        <v>0</v>
      </c>
      <c r="AO101" s="48">
        <f>-IF(COUNT($F$76:AO76)&lt;=$F$67,$F$68/12,0)</f>
        <v>0</v>
      </c>
      <c r="AP101" s="48">
        <f>-IF(COUNT($F$76:AP76)&lt;=$F$67,$F$68/12,0)</f>
        <v>0</v>
      </c>
      <c r="AQ101" s="48">
        <f>-IF(COUNT($F$76:AQ76)&lt;=$F$67,$F$68/12,0)</f>
        <v>0</v>
      </c>
      <c r="AR101" s="48">
        <f>-IF(COUNT($F$76:AR76)&lt;=$F$67,$F$68/12,0)</f>
        <v>0</v>
      </c>
      <c r="AS101" s="48">
        <f>-IF(COUNT($F$76:AS76)&lt;=$F$67,$F$68/12,0)</f>
        <v>0</v>
      </c>
      <c r="AT101" s="48">
        <f>-IF(COUNT($F$76:AT76)&lt;=$F$67,$F$68/12,0)</f>
        <v>0</v>
      </c>
      <c r="AU101" s="48">
        <f>-IF(COUNT($F$76:AU76)&lt;=$F$67,$F$68/12,0)</f>
        <v>0</v>
      </c>
      <c r="AV101" s="48">
        <f>-IF(COUNT($F$76:AV76)&lt;=$F$67,$F$68/12,0)</f>
        <v>0</v>
      </c>
      <c r="AW101" s="48">
        <f>-IF(COUNT($F$76:AW76)&lt;=$F$67,$F$68/12,0)</f>
        <v>0</v>
      </c>
      <c r="AX101" s="48">
        <f>-IF(COUNT($F$76:AX76)&lt;=$F$67,$F$68/12,0)</f>
        <v>0</v>
      </c>
      <c r="AY101" s="48">
        <f>-IF(COUNT($F$76:AY76)&lt;=$F$67,$F$68/12,0)</f>
        <v>0</v>
      </c>
      <c r="AZ101" s="48">
        <f>-IF(COUNT($F$76:AZ76)&lt;=$F$67,$F$68/12,0)</f>
        <v>0</v>
      </c>
      <c r="BA101" s="48">
        <f>-IF(COUNT($F$76:BA76)&lt;=$F$67,$F$68/12,0)</f>
        <v>0</v>
      </c>
      <c r="BB101" s="48">
        <f>-IF(COUNT($F$76:BB76)&lt;=$F$67,$F$68/12,0)</f>
        <v>0</v>
      </c>
      <c r="BC101" s="48">
        <f>-IF(COUNT($F$76:BC76)&lt;=$F$67,$F$68/12,0)</f>
        <v>0</v>
      </c>
      <c r="BD101" s="48">
        <f>-IF(COUNT($F$76:BD76)&lt;=$F$67,$F$68/12,0)</f>
        <v>0</v>
      </c>
      <c r="BE101" s="48">
        <f>-IF(COUNT($F$76:BE76)&lt;=$F$67,$F$68/12,0)</f>
        <v>0</v>
      </c>
      <c r="BF101" s="48">
        <f>-IF(COUNT($F$76:BF76)&lt;=$F$67,$F$68/12,0)</f>
        <v>0</v>
      </c>
      <c r="BG101" s="48">
        <f>-IF(COUNT($F$76:BG76)&lt;=$F$67,$F$68/12,0)</f>
        <v>0</v>
      </c>
      <c r="BH101" s="48">
        <f>-IF(COUNT($F$76:BH76)&lt;=$F$67,$F$68/12,0)</f>
        <v>0</v>
      </c>
      <c r="BI101" s="48">
        <f>-IF(COUNT($F$76:BI76)&lt;=$F$67,$F$68/12,0)</f>
        <v>0</v>
      </c>
      <c r="BJ101" s="48">
        <f>-IF(COUNT($F$76:BJ76)&lt;=$F$67,$F$68/12,0)</f>
        <v>0</v>
      </c>
      <c r="BK101" s="48">
        <f>-IF(COUNT($F$76:BK76)&lt;=$F$67,$F$68/12,0)</f>
        <v>0</v>
      </c>
      <c r="BL101" s="48">
        <f>-IF(COUNT($F$76:BL76)&lt;=$F$67,$F$68/12,0)</f>
        <v>0</v>
      </c>
      <c r="BM101" s="48">
        <f>-IF(COUNT($F$76:BM76)&lt;=$F$67,$F$68/12,0)</f>
        <v>0</v>
      </c>
    </row>
    <row r="102" spans="2:76" s="1" customFormat="1" ht="10" x14ac:dyDescent="0.15">
      <c r="B102" s="48" t="s">
        <v>83</v>
      </c>
      <c r="C102" s="49"/>
      <c r="D102" s="49"/>
      <c r="E102" s="48">
        <f>-IF(COUNT(E$76:$F76)=$F$67,$F$66,0)</f>
        <v>0</v>
      </c>
      <c r="F102" s="48">
        <f>-IF(COUNT(F$76:$F76)=$F$67,$F$66,0)</f>
        <v>0</v>
      </c>
      <c r="G102" s="48">
        <f>-IF(COUNT($F$76:G76)=$F$67,$F$66,0)</f>
        <v>0</v>
      </c>
      <c r="H102" s="48">
        <f>-IF(COUNT($F$76:H76)=$F$67,$F$66,0)</f>
        <v>0</v>
      </c>
      <c r="I102" s="48">
        <f>-IF(COUNT($F$76:I76)=$F$67,$F$66,0)</f>
        <v>0</v>
      </c>
      <c r="J102" s="48">
        <f>-IF(COUNT($F$76:J76)=$F$67,$F$66,0)</f>
        <v>0</v>
      </c>
      <c r="K102" s="48">
        <f>-IF(COUNT($F$76:K76)=$F$67,$F$66,0)</f>
        <v>0</v>
      </c>
      <c r="L102" s="48">
        <f>-IF(COUNT($F$76:L76)=$F$67,$F$66,0)</f>
        <v>0</v>
      </c>
      <c r="M102" s="48">
        <f>-IF(COUNT($F$76:M76)=$F$67,$F$66,0)</f>
        <v>0</v>
      </c>
      <c r="N102" s="48">
        <f>-IF(COUNT($F$76:N76)=$F$67,$F$66,0)</f>
        <v>0</v>
      </c>
      <c r="O102" s="48">
        <f>-IF(COUNT($F$76:O76)=$F$67,$F$66,0)</f>
        <v>0</v>
      </c>
      <c r="P102" s="48">
        <f>-IF(COUNT($F$76:P76)=$F$67,$F$66,0)</f>
        <v>0</v>
      </c>
      <c r="Q102" s="48">
        <f>-IF(COUNT($F$76:Q76)=$F$67,$F$66,0)</f>
        <v>0</v>
      </c>
      <c r="R102" s="48">
        <f>-IF(COUNT($F$76:R76)=$F$67,$F$66,0)</f>
        <v>0</v>
      </c>
      <c r="S102" s="48">
        <f>-IF(COUNT($F$76:S76)=$F$67,$F$66,0)</f>
        <v>0</v>
      </c>
      <c r="T102" s="48">
        <f>-IF(COUNT($F$76:T76)=$F$67,$F$66,0)</f>
        <v>0</v>
      </c>
      <c r="U102" s="48">
        <f>-IF(COUNT($F$76:U76)=$F$67,$F$66,0)</f>
        <v>0</v>
      </c>
      <c r="V102" s="48">
        <f>-IF(COUNT($F$76:V76)=$F$67,$F$66,0)</f>
        <v>0</v>
      </c>
      <c r="W102" s="48">
        <f>-IF(COUNT($F$76:W76)=$F$67,$F$66,0)</f>
        <v>0</v>
      </c>
      <c r="X102" s="48">
        <f>-IF(COUNT($F$76:X76)=$F$67,$F$66,0)</f>
        <v>0</v>
      </c>
      <c r="Y102" s="48">
        <f>-IF(COUNT($F$76:Y76)=$F$67,$F$66,0)</f>
        <v>0</v>
      </c>
      <c r="Z102" s="48">
        <f>-IF(COUNT($F$76:Z76)=$F$67,$F$66,0)</f>
        <v>0</v>
      </c>
      <c r="AA102" s="48">
        <f>-IF(COUNT($F$76:AA76)=$F$67,$F$66,0)</f>
        <v>0</v>
      </c>
      <c r="AB102" s="48">
        <f>-IF(COUNT($F$76:AB76)=$F$67,$F$66,0)</f>
        <v>0</v>
      </c>
      <c r="AC102" s="48">
        <f>-IF(COUNT($F$76:AC76)=$F$67,$F$66,0)</f>
        <v>0</v>
      </c>
      <c r="AD102" s="48">
        <f>-IF(COUNT($F$76:AD76)=$F$67,$F$66,0)</f>
        <v>0</v>
      </c>
      <c r="AE102" s="48">
        <f>-IF(COUNT($F$76:AE76)=$F$67,$F$66,0)</f>
        <v>0</v>
      </c>
      <c r="AF102" s="48">
        <f>-IF(COUNT($F$76:AF76)=$F$67,$F$66,0)</f>
        <v>0</v>
      </c>
      <c r="AG102" s="48">
        <f>-IF(COUNT($F$76:AG76)=$F$67,$F$66,0)</f>
        <v>0</v>
      </c>
      <c r="AH102" s="48">
        <f>-IF(COUNT($F$76:AH76)=$F$67,$F$66,0)</f>
        <v>0</v>
      </c>
      <c r="AI102" s="48">
        <f>-IF(COUNT($F$76:AI76)=$F$67,$F$66,0)</f>
        <v>0</v>
      </c>
      <c r="AJ102" s="48">
        <f>-IF(COUNT($F$76:AJ76)=$F$67,$F$66,0)</f>
        <v>0</v>
      </c>
      <c r="AK102" s="48">
        <f>-IF(COUNT($F$76:AK76)=$F$67,$F$66,0)</f>
        <v>0</v>
      </c>
      <c r="AL102" s="48">
        <f>-IF(COUNT($F$76:AL76)=$F$67,$F$66,0)</f>
        <v>0</v>
      </c>
      <c r="AM102" s="48">
        <f>-IF(COUNT($F$76:AM76)=$F$67,$F$66,0)</f>
        <v>0</v>
      </c>
      <c r="AN102" s="48">
        <f>-IF(COUNT($F$76:AN76)=$F$67,$F$66,0)</f>
        <v>0</v>
      </c>
      <c r="AO102" s="48">
        <f>-IF(COUNT($F$76:AO76)=$F$67,$F$66,0)</f>
        <v>0</v>
      </c>
      <c r="AP102" s="48">
        <f>-IF(COUNT($F$76:AP76)=$F$67,$F$66,0)</f>
        <v>0</v>
      </c>
      <c r="AQ102" s="48">
        <f>-IF(COUNT($F$76:AQ76)=$F$67,$F$66,0)</f>
        <v>0</v>
      </c>
      <c r="AR102" s="48">
        <f>-IF(COUNT($F$76:AR76)=$F$67,$F$66,0)</f>
        <v>0</v>
      </c>
      <c r="AS102" s="48">
        <f>-IF(COUNT($F$76:AS76)=$F$67,$F$66,0)</f>
        <v>0</v>
      </c>
      <c r="AT102" s="48">
        <f>-IF(COUNT($F$76:AT76)=$F$67,$F$66,0)</f>
        <v>0</v>
      </c>
      <c r="AU102" s="48">
        <f>-IF(COUNT($F$76:AU76)=$F$67,$F$66,0)</f>
        <v>0</v>
      </c>
      <c r="AV102" s="48">
        <f>-IF(COUNT($F$76:AV76)=$F$67,$F$66,0)</f>
        <v>0</v>
      </c>
      <c r="AW102" s="48">
        <f>-IF(COUNT($F$76:AW76)=$F$67,$F$66,0)</f>
        <v>0</v>
      </c>
      <c r="AX102" s="48">
        <f>-IF(COUNT($F$76:AX76)=$F$67,$F$66,0)</f>
        <v>0</v>
      </c>
      <c r="AY102" s="48">
        <f>-IF(COUNT($F$76:AY76)=$F$67,$F$66,0)</f>
        <v>0</v>
      </c>
      <c r="AZ102" s="48">
        <f>-IF(COUNT($F$76:AZ76)=$F$67,$F$66,0)</f>
        <v>0</v>
      </c>
      <c r="BA102" s="48">
        <f>-IF(COUNT($F$76:BA76)=$F$67,$F$66,0)</f>
        <v>0</v>
      </c>
      <c r="BB102" s="48">
        <f>-IF(COUNT($F$76:BB76)=$F$67,$F$66,0)</f>
        <v>0</v>
      </c>
      <c r="BC102" s="48">
        <f>-IF(COUNT($F$76:BC76)=$F$67,$F$66,0)</f>
        <v>0</v>
      </c>
      <c r="BD102" s="48">
        <f>-IF(COUNT($F$76:BD76)=$F$67,$F$66,0)</f>
        <v>0</v>
      </c>
      <c r="BE102" s="48">
        <f>-IF(COUNT($F$76:BE76)=$F$67,$F$66,0)</f>
        <v>0</v>
      </c>
      <c r="BF102" s="48">
        <f>-IF(COUNT($F$76:BF76)=$F$67,$F$66,0)</f>
        <v>0</v>
      </c>
      <c r="BG102" s="48">
        <f>-IF(COUNT($F$76:BG76)=$F$67,$F$66,0)</f>
        <v>0</v>
      </c>
      <c r="BH102" s="48">
        <f>-IF(COUNT($F$76:BH76)=$F$67,$F$66,0)</f>
        <v>0</v>
      </c>
      <c r="BI102" s="48">
        <f>-IF(COUNT($F$76:BI76)=$F$67,$F$66,0)</f>
        <v>0</v>
      </c>
      <c r="BJ102" s="48">
        <f>-IF(COUNT($F$76:BJ76)=$F$67,$F$66,0)</f>
        <v>0</v>
      </c>
      <c r="BK102" s="48">
        <f>-IF(COUNT($F$76:BK76)=$F$67,$F$66,0)</f>
        <v>0</v>
      </c>
      <c r="BL102" s="48">
        <f>-IF(COUNT($F$76:BL76)=$F$67,$F$66,0)</f>
        <v>0</v>
      </c>
      <c r="BM102" s="48">
        <f>-IF(COUNT($F$76:BM76)=$F$67,$F$66,0)</f>
        <v>0</v>
      </c>
    </row>
    <row r="103" spans="2:76" s="1" customFormat="1" ht="10" x14ac:dyDescent="0.15">
      <c r="B103" s="12" t="s">
        <v>89</v>
      </c>
      <c r="E103" s="12">
        <f t="shared" ref="E103:AJ103" si="44">IF(E98&lt;0,$L$61,0)</f>
        <v>0</v>
      </c>
      <c r="F103" s="12">
        <f t="shared" si="44"/>
        <v>0</v>
      </c>
      <c r="G103" s="12">
        <f t="shared" si="44"/>
        <v>0</v>
      </c>
      <c r="H103" s="12">
        <f t="shared" si="44"/>
        <v>0</v>
      </c>
      <c r="I103" s="12">
        <f t="shared" si="44"/>
        <v>0</v>
      </c>
      <c r="J103" s="12">
        <f t="shared" si="44"/>
        <v>0</v>
      </c>
      <c r="K103" s="12">
        <f t="shared" si="44"/>
        <v>0</v>
      </c>
      <c r="L103" s="12">
        <f t="shared" si="44"/>
        <v>0</v>
      </c>
      <c r="M103" s="12">
        <f t="shared" si="44"/>
        <v>0</v>
      </c>
      <c r="N103" s="12">
        <f t="shared" si="44"/>
        <v>0</v>
      </c>
      <c r="O103" s="12">
        <f t="shared" si="44"/>
        <v>0</v>
      </c>
      <c r="P103" s="12">
        <f t="shared" si="44"/>
        <v>0</v>
      </c>
      <c r="Q103" s="12">
        <f t="shared" si="44"/>
        <v>0</v>
      </c>
      <c r="R103" s="12">
        <f t="shared" si="44"/>
        <v>0</v>
      </c>
      <c r="S103" s="12">
        <f t="shared" si="44"/>
        <v>0</v>
      </c>
      <c r="T103" s="12">
        <f t="shared" si="44"/>
        <v>0</v>
      </c>
      <c r="U103" s="12">
        <f t="shared" si="44"/>
        <v>0</v>
      </c>
      <c r="V103" s="12">
        <f t="shared" si="44"/>
        <v>0</v>
      </c>
      <c r="W103" s="12">
        <f t="shared" si="44"/>
        <v>0</v>
      </c>
      <c r="X103" s="12">
        <f t="shared" si="44"/>
        <v>0</v>
      </c>
      <c r="Y103" s="12">
        <f t="shared" si="44"/>
        <v>0</v>
      </c>
      <c r="Z103" s="12">
        <f t="shared" si="44"/>
        <v>0</v>
      </c>
      <c r="AA103" s="12">
        <f t="shared" si="44"/>
        <v>0</v>
      </c>
      <c r="AB103" s="12">
        <f t="shared" si="44"/>
        <v>0</v>
      </c>
      <c r="AC103" s="12">
        <f t="shared" si="44"/>
        <v>0</v>
      </c>
      <c r="AD103" s="12">
        <f t="shared" si="44"/>
        <v>0</v>
      </c>
      <c r="AE103" s="12">
        <f t="shared" si="44"/>
        <v>0</v>
      </c>
      <c r="AF103" s="12">
        <f t="shared" si="44"/>
        <v>0</v>
      </c>
      <c r="AG103" s="12">
        <f t="shared" si="44"/>
        <v>0</v>
      </c>
      <c r="AH103" s="12">
        <f t="shared" si="44"/>
        <v>0</v>
      </c>
      <c r="AI103" s="12">
        <f t="shared" si="44"/>
        <v>0</v>
      </c>
      <c r="AJ103" s="12">
        <f t="shared" si="44"/>
        <v>0</v>
      </c>
      <c r="AK103" s="12">
        <f t="shared" ref="AK103:BM103" si="45">IF(AK98&lt;0,$L$61,0)</f>
        <v>0</v>
      </c>
      <c r="AL103" s="12">
        <f t="shared" si="45"/>
        <v>0</v>
      </c>
      <c r="AM103" s="12">
        <f t="shared" si="45"/>
        <v>0</v>
      </c>
      <c r="AN103" s="12">
        <f t="shared" si="45"/>
        <v>0</v>
      </c>
      <c r="AO103" s="12">
        <f t="shared" si="45"/>
        <v>0</v>
      </c>
      <c r="AP103" s="12">
        <f t="shared" si="45"/>
        <v>0</v>
      </c>
      <c r="AQ103" s="12">
        <f t="shared" si="45"/>
        <v>0</v>
      </c>
      <c r="AR103" s="12">
        <f t="shared" si="45"/>
        <v>0</v>
      </c>
      <c r="AS103" s="12">
        <f t="shared" si="45"/>
        <v>0</v>
      </c>
      <c r="AT103" s="12">
        <f t="shared" si="45"/>
        <v>0</v>
      </c>
      <c r="AU103" s="12">
        <f t="shared" si="45"/>
        <v>0</v>
      </c>
      <c r="AV103" s="12">
        <f t="shared" si="45"/>
        <v>0</v>
      </c>
      <c r="AW103" s="12">
        <f t="shared" si="45"/>
        <v>0</v>
      </c>
      <c r="AX103" s="12">
        <f t="shared" si="45"/>
        <v>0</v>
      </c>
      <c r="AY103" s="12">
        <f t="shared" si="45"/>
        <v>0</v>
      </c>
      <c r="AZ103" s="12">
        <f t="shared" si="45"/>
        <v>0</v>
      </c>
      <c r="BA103" s="12">
        <f t="shared" si="45"/>
        <v>0</v>
      </c>
      <c r="BB103" s="12">
        <f t="shared" si="45"/>
        <v>0</v>
      </c>
      <c r="BC103" s="12">
        <f t="shared" si="45"/>
        <v>0</v>
      </c>
      <c r="BD103" s="12">
        <f t="shared" si="45"/>
        <v>0</v>
      </c>
      <c r="BE103" s="12">
        <f t="shared" si="45"/>
        <v>0</v>
      </c>
      <c r="BF103" s="12">
        <f t="shared" si="45"/>
        <v>0</v>
      </c>
      <c r="BG103" s="12">
        <f t="shared" si="45"/>
        <v>0</v>
      </c>
      <c r="BH103" s="12">
        <f t="shared" si="45"/>
        <v>0</v>
      </c>
      <c r="BI103" s="12">
        <f t="shared" si="45"/>
        <v>0</v>
      </c>
      <c r="BJ103" s="12">
        <f t="shared" si="45"/>
        <v>0</v>
      </c>
      <c r="BK103" s="12">
        <f t="shared" si="45"/>
        <v>0</v>
      </c>
      <c r="BL103" s="12">
        <f t="shared" si="45"/>
        <v>0</v>
      </c>
      <c r="BM103" s="12">
        <f t="shared" si="45"/>
        <v>0</v>
      </c>
    </row>
    <row r="104" spans="2:76" s="1" customFormat="1" ht="10" x14ac:dyDescent="0.15">
      <c r="B104" s="12" t="str">
        <f>B100</f>
        <v>Lender Fees</v>
      </c>
      <c r="E104" s="12">
        <f t="shared" ref="E104:AJ104" si="46">IF(E103&gt;0,-$L$62,0)</f>
        <v>0</v>
      </c>
      <c r="F104" s="12">
        <f t="shared" si="46"/>
        <v>0</v>
      </c>
      <c r="G104" s="12">
        <f t="shared" si="46"/>
        <v>0</v>
      </c>
      <c r="H104" s="12">
        <f t="shared" si="46"/>
        <v>0</v>
      </c>
      <c r="I104" s="12">
        <f t="shared" si="46"/>
        <v>0</v>
      </c>
      <c r="J104" s="12">
        <f t="shared" si="46"/>
        <v>0</v>
      </c>
      <c r="K104" s="12">
        <f t="shared" si="46"/>
        <v>0</v>
      </c>
      <c r="L104" s="12">
        <f t="shared" si="46"/>
        <v>0</v>
      </c>
      <c r="M104" s="12">
        <f t="shared" si="46"/>
        <v>0</v>
      </c>
      <c r="N104" s="12">
        <f t="shared" si="46"/>
        <v>0</v>
      </c>
      <c r="O104" s="12">
        <f t="shared" si="46"/>
        <v>0</v>
      </c>
      <c r="P104" s="12">
        <f t="shared" si="46"/>
        <v>0</v>
      </c>
      <c r="Q104" s="12">
        <f t="shared" si="46"/>
        <v>0</v>
      </c>
      <c r="R104" s="12">
        <f t="shared" si="46"/>
        <v>0</v>
      </c>
      <c r="S104" s="12">
        <f t="shared" si="46"/>
        <v>0</v>
      </c>
      <c r="T104" s="12">
        <f t="shared" si="46"/>
        <v>0</v>
      </c>
      <c r="U104" s="12">
        <f t="shared" si="46"/>
        <v>0</v>
      </c>
      <c r="V104" s="12">
        <f t="shared" si="46"/>
        <v>0</v>
      </c>
      <c r="W104" s="12">
        <f t="shared" si="46"/>
        <v>0</v>
      </c>
      <c r="X104" s="12">
        <f t="shared" si="46"/>
        <v>0</v>
      </c>
      <c r="Y104" s="12">
        <f t="shared" si="46"/>
        <v>0</v>
      </c>
      <c r="Z104" s="12">
        <f t="shared" si="46"/>
        <v>0</v>
      </c>
      <c r="AA104" s="12">
        <f t="shared" si="46"/>
        <v>0</v>
      </c>
      <c r="AB104" s="12">
        <f t="shared" si="46"/>
        <v>0</v>
      </c>
      <c r="AC104" s="12">
        <f t="shared" si="46"/>
        <v>0</v>
      </c>
      <c r="AD104" s="12">
        <f t="shared" si="46"/>
        <v>0</v>
      </c>
      <c r="AE104" s="12">
        <f t="shared" si="46"/>
        <v>0</v>
      </c>
      <c r="AF104" s="12">
        <f t="shared" si="46"/>
        <v>0</v>
      </c>
      <c r="AG104" s="12">
        <f t="shared" si="46"/>
        <v>0</v>
      </c>
      <c r="AH104" s="12">
        <f t="shared" si="46"/>
        <v>0</v>
      </c>
      <c r="AI104" s="12">
        <f t="shared" si="46"/>
        <v>0</v>
      </c>
      <c r="AJ104" s="12">
        <f t="shared" si="46"/>
        <v>0</v>
      </c>
      <c r="AK104" s="12">
        <f t="shared" ref="AK104:BM104" si="47">IF(AK103&gt;0,-$L$62,0)</f>
        <v>0</v>
      </c>
      <c r="AL104" s="12">
        <f t="shared" si="47"/>
        <v>0</v>
      </c>
      <c r="AM104" s="12">
        <f t="shared" si="47"/>
        <v>0</v>
      </c>
      <c r="AN104" s="12">
        <f t="shared" si="47"/>
        <v>0</v>
      </c>
      <c r="AO104" s="12">
        <f t="shared" si="47"/>
        <v>0</v>
      </c>
      <c r="AP104" s="12">
        <f t="shared" si="47"/>
        <v>0</v>
      </c>
      <c r="AQ104" s="12">
        <f t="shared" si="47"/>
        <v>0</v>
      </c>
      <c r="AR104" s="12">
        <f t="shared" si="47"/>
        <v>0</v>
      </c>
      <c r="AS104" s="12">
        <f t="shared" si="47"/>
        <v>0</v>
      </c>
      <c r="AT104" s="12">
        <f t="shared" si="47"/>
        <v>0</v>
      </c>
      <c r="AU104" s="12">
        <f t="shared" si="47"/>
        <v>0</v>
      </c>
      <c r="AV104" s="12">
        <f t="shared" si="47"/>
        <v>0</v>
      </c>
      <c r="AW104" s="12">
        <f t="shared" si="47"/>
        <v>0</v>
      </c>
      <c r="AX104" s="12">
        <f t="shared" si="47"/>
        <v>0</v>
      </c>
      <c r="AY104" s="12">
        <f t="shared" si="47"/>
        <v>0</v>
      </c>
      <c r="AZ104" s="12">
        <f t="shared" si="47"/>
        <v>0</v>
      </c>
      <c r="BA104" s="12">
        <f t="shared" si="47"/>
        <v>0</v>
      </c>
      <c r="BB104" s="12">
        <f t="shared" si="47"/>
        <v>0</v>
      </c>
      <c r="BC104" s="12">
        <f t="shared" si="47"/>
        <v>0</v>
      </c>
      <c r="BD104" s="12">
        <f t="shared" si="47"/>
        <v>0</v>
      </c>
      <c r="BE104" s="12">
        <f t="shared" si="47"/>
        <v>0</v>
      </c>
      <c r="BF104" s="12">
        <f t="shared" si="47"/>
        <v>0</v>
      </c>
      <c r="BG104" s="12">
        <f t="shared" si="47"/>
        <v>0</v>
      </c>
      <c r="BH104" s="12">
        <f t="shared" si="47"/>
        <v>0</v>
      </c>
      <c r="BI104" s="12">
        <f t="shared" si="47"/>
        <v>0</v>
      </c>
      <c r="BJ104" s="12">
        <f t="shared" si="47"/>
        <v>0</v>
      </c>
      <c r="BK104" s="12">
        <f t="shared" si="47"/>
        <v>0</v>
      </c>
      <c r="BL104" s="12">
        <f t="shared" si="47"/>
        <v>0</v>
      </c>
      <c r="BM104" s="12">
        <f t="shared" si="47"/>
        <v>0</v>
      </c>
    </row>
    <row r="105" spans="2:76" s="1" customFormat="1" ht="10" x14ac:dyDescent="0.15">
      <c r="B105" s="12" t="s">
        <v>92</v>
      </c>
      <c r="E105" s="12">
        <f>-IF(AND(COUNT(E$76:$F76)&gt;$F$50,E75&lt;=$K$68,$K$59="Interest only"),$L$63,IF(AND(COUNT(E$76:$F76)&gt;$F$50,E75&lt;=$K$68,$K$59="Amortizing (Interest+Repayment)"),$L$64,0))</f>
        <v>0</v>
      </c>
      <c r="F105" s="12">
        <f>-IF(AND(COUNT($F$76:F76)&gt;$F$50,F75&lt;=$K$68,$K$59="Interest only"),$L$63,IF(AND(COUNT($F$76:F76)&gt;$F$50,F75&lt;=$K$68,$K$59="Amortizing (Interest+Repayment)"),$L$64,0))</f>
        <v>0</v>
      </c>
      <c r="G105" s="12">
        <f>-IF(AND(COUNT($F$76:G76)&gt;$F$50,G75&lt;=$K$68,$K$59="Interest only"),$L$63,IF(AND(COUNT($F$76:G76)&gt;$F$50,G75&lt;=$K$68,$K$59="Amortizing (Interest+Repayment)"),$L$64,0))</f>
        <v>0</v>
      </c>
      <c r="H105" s="12">
        <f>-IF(AND(COUNT($F$76:H76)&gt;$F$50,H75&lt;=$K$68,$K$59="Interest only"),$L$63,IF(AND(COUNT($F$76:H76)&gt;$F$50,H75&lt;=$K$68,$K$59="Amortizing (Interest+Repayment)"),$L$64,0))</f>
        <v>0</v>
      </c>
      <c r="I105" s="12">
        <f>-IF(AND(COUNT($F$76:I76)&gt;$F$50,I75&lt;=$K$68,$K$59="Interest only"),$L$63,IF(AND(COUNT($F$76:I76)&gt;$F$50,I75&lt;=$K$68,$K$59="Amortizing (Interest+Repayment)"),$L$64,0))</f>
        <v>0</v>
      </c>
      <c r="J105" s="12">
        <f>-IF(AND(COUNT($F$76:J76)&gt;$F$50,J75&lt;=$K$68,$K$59="Interest only"),$L$63,IF(AND(COUNT($F$76:J76)&gt;$F$50,J75&lt;=$K$68,$K$59="Amortizing (Interest+Repayment)"),$L$64,0))</f>
        <v>0</v>
      </c>
      <c r="K105" s="12">
        <f>-IF(AND(COUNT($F$76:K76)&gt;$F$50,K75&lt;=$K$68,$K$59="Interest only"),$L$63,IF(AND(COUNT($F$76:K76)&gt;$F$50,K75&lt;=$K$68,$K$59="Amortizing (Interest+Repayment)"),$L$64,0))</f>
        <v>0</v>
      </c>
      <c r="L105" s="12">
        <f>-IF(AND(COUNT($F$76:L76)&gt;$F$50,L75&lt;=$K$68,$K$59="Interest only"),$L$63,IF(AND(COUNT($F$76:L76)&gt;$F$50,L75&lt;=$K$68,$K$59="Amortizing (Interest+Repayment)"),$L$64,0))</f>
        <v>0</v>
      </c>
      <c r="M105" s="12">
        <f>-IF(AND(COUNT($F$76:M76)&gt;$F$50,M75&lt;=$K$68,$K$59="Interest only"),$L$63,IF(AND(COUNT($F$76:M76)&gt;$F$50,M75&lt;=$K$68,$K$59="Amortizing (Interest+Repayment)"),$L$64,0))</f>
        <v>0</v>
      </c>
      <c r="N105" s="12">
        <f>-IF(AND(COUNT($F$76:N76)&gt;$F$50,N75&lt;=$K$68,$K$59="Interest only"),$L$63,IF(AND(COUNT($F$76:N76)&gt;$F$50,N75&lt;=$K$68,$K$59="Amortizing (Interest+Repayment)"),$L$64,0))</f>
        <v>0</v>
      </c>
      <c r="O105" s="12">
        <f>-IF(AND(COUNT($F$76:O76)&gt;$F$50,O75&lt;=$K$68,$K$59="Interest only"),$L$63,IF(AND(COUNT($F$76:O76)&gt;$F$50,O75&lt;=$K$68,$K$59="Amortizing (Interest+Repayment)"),$L$64,0))</f>
        <v>0</v>
      </c>
      <c r="P105" s="12">
        <f>-IF(AND(COUNT($F$76:P76)&gt;$F$50,P75&lt;=$K$68,$K$59="Interest only"),$L$63,IF(AND(COUNT($F$76:P76)&gt;$F$50,P75&lt;=$K$68,$K$59="Amortizing (Interest+Repayment)"),$L$64,0))</f>
        <v>0</v>
      </c>
      <c r="Q105" s="12">
        <f>-IF(AND(COUNT($F$76:Q76)&gt;$F$50,Q75&lt;=$K$68,$K$59="Interest only"),$L$63,IF(AND(COUNT($F$76:Q76)&gt;$F$50,Q75&lt;=$K$68,$K$59="Amortizing (Interest+Repayment)"),$L$64,0))</f>
        <v>0</v>
      </c>
      <c r="R105" s="12">
        <f>-IF(AND(COUNT($F$76:R76)&gt;$F$50,R75&lt;=$K$68,$K$59="Interest only"),$L$63,IF(AND(COUNT($F$76:R76)&gt;$F$50,R75&lt;=$K$68,$K$59="Amortizing (Interest+Repayment)"),$L$64,0))</f>
        <v>0</v>
      </c>
      <c r="S105" s="12">
        <f>-IF(AND(COUNT($F$76:S76)&gt;$F$50,S75&lt;=$K$68,$K$59="Interest only"),$L$63,IF(AND(COUNT($F$76:S76)&gt;$F$50,S75&lt;=$K$68,$K$59="Amortizing (Interest+Repayment)"),$L$64,0))</f>
        <v>0</v>
      </c>
      <c r="T105" s="12">
        <f>-IF(AND(COUNT($F$76:T76)&gt;$F$50,T75&lt;=$K$68,$K$59="Interest only"),$L$63,IF(AND(COUNT($F$76:T76)&gt;$F$50,T75&lt;=$K$68,$K$59="Amortizing (Interest+Repayment)"),$L$64,0))</f>
        <v>0</v>
      </c>
      <c r="U105" s="12">
        <f>-IF(AND(COUNT($F$76:U76)&gt;$F$50,U75&lt;=$K$68,$K$59="Interest only"),$L$63,IF(AND(COUNT($F$76:U76)&gt;$F$50,U75&lt;=$K$68,$K$59="Amortizing (Interest+Repayment)"),$L$64,0))</f>
        <v>0</v>
      </c>
      <c r="V105" s="12">
        <f>-IF(AND(COUNT($F$76:V76)&gt;$F$50,V75&lt;=$K$68,$K$59="Interest only"),$L$63,IF(AND(COUNT($F$76:V76)&gt;$F$50,V75&lt;=$K$68,$K$59="Amortizing (Interest+Repayment)"),$L$64,0))</f>
        <v>0</v>
      </c>
      <c r="W105" s="12">
        <f>-IF(AND(COUNT($F$76:W76)&gt;$F$50,W75&lt;=$K$68,$K$59="Interest only"),$L$63,IF(AND(COUNT($F$76:W76)&gt;$F$50,W75&lt;=$K$68,$K$59="Amortizing (Interest+Repayment)"),$L$64,0))</f>
        <v>0</v>
      </c>
      <c r="X105" s="12">
        <f>-IF(AND(COUNT($F$76:X76)&gt;$F$50,X75&lt;=$K$68,$K$59="Interest only"),$L$63,IF(AND(COUNT($F$76:X76)&gt;$F$50,X75&lt;=$K$68,$K$59="Amortizing (Interest+Repayment)"),$L$64,0))</f>
        <v>0</v>
      </c>
      <c r="Y105" s="12">
        <f>-IF(AND(COUNT($F$76:Y76)&gt;$F$50,Y75&lt;=$K$68,$K$59="Interest only"),$L$63,IF(AND(COUNT($F$76:Y76)&gt;$F$50,Y75&lt;=$K$68,$K$59="Amortizing (Interest+Repayment)"),$L$64,0))</f>
        <v>0</v>
      </c>
      <c r="Z105" s="12">
        <f>-IF(AND(COUNT($F$76:Z76)&gt;$F$50,Z75&lt;=$K$68,$K$59="Interest only"),$L$63,IF(AND(COUNT($F$76:Z76)&gt;$F$50,Z75&lt;=$K$68,$K$59="Amortizing (Interest+Repayment)"),$L$64,0))</f>
        <v>0</v>
      </c>
      <c r="AA105" s="12">
        <f>-IF(AND(COUNT($F$76:AA76)&gt;$F$50,AA75&lt;=$K$68,$K$59="Interest only"),$L$63,IF(AND(COUNT($F$76:AA76)&gt;$F$50,AA75&lt;=$K$68,$K$59="Amortizing (Interest+Repayment)"),$L$64,0))</f>
        <v>0</v>
      </c>
      <c r="AB105" s="12">
        <f>-IF(AND(COUNT($F$76:AB76)&gt;$F$50,AB75&lt;=$K$68,$K$59="Interest only"),$L$63,IF(AND(COUNT($F$76:AB76)&gt;$F$50,AB75&lt;=$K$68,$K$59="Amortizing (Interest+Repayment)"),$L$64,0))</f>
        <v>0</v>
      </c>
      <c r="AC105" s="12">
        <f>-IF(AND(COUNT($F$76:AC76)&gt;$F$50,AC75&lt;=$K$68,$K$59="Interest only"),$L$63,IF(AND(COUNT($F$76:AC76)&gt;$F$50,AC75&lt;=$K$68,$K$59="Amortizing (Interest+Repayment)"),$L$64,0))</f>
        <v>0</v>
      </c>
      <c r="AD105" s="12">
        <f>-IF(AND(COUNT($F$76:AD76)&gt;$F$50,AD75&lt;=$K$68,$K$59="Interest only"),$L$63,IF(AND(COUNT($F$76:AD76)&gt;$F$50,AD75&lt;=$K$68,$K$59="Amortizing (Interest+Repayment)"),$L$64,0))</f>
        <v>0</v>
      </c>
      <c r="AE105" s="12">
        <f>-IF(AND(COUNT($F$76:AE76)&gt;$F$50,AE75&lt;=$K$68,$K$59="Interest only"),$L$63,IF(AND(COUNT($F$76:AE76)&gt;$F$50,AE75&lt;=$K$68,$K$59="Amortizing (Interest+Repayment)"),$L$64,0))</f>
        <v>0</v>
      </c>
      <c r="AF105" s="12">
        <f>-IF(AND(COUNT($F$76:AF76)&gt;$F$50,AF75&lt;=$K$68,$K$59="Interest only"),$L$63,IF(AND(COUNT($F$76:AF76)&gt;$F$50,AF75&lt;=$K$68,$K$59="Amortizing (Interest+Repayment)"),$L$64,0))</f>
        <v>0</v>
      </c>
      <c r="AG105" s="12">
        <f>-IF(AND(COUNT($F$76:AG76)&gt;$F$50,AG75&lt;=$K$68,$K$59="Interest only"),$L$63,IF(AND(COUNT($F$76:AG76)&gt;$F$50,AG75&lt;=$K$68,$K$59="Amortizing (Interest+Repayment)"),$L$64,0))</f>
        <v>0</v>
      </c>
      <c r="AH105" s="12">
        <f>-IF(AND(COUNT($F$76:AH76)&gt;$F$50,AH75&lt;=$K$68,$K$59="Interest only"),$L$63,IF(AND(COUNT($F$76:AH76)&gt;$F$50,AH75&lt;=$K$68,$K$59="Amortizing (Interest+Repayment)"),$L$64,0))</f>
        <v>0</v>
      </c>
      <c r="AI105" s="12">
        <f>-IF(AND(COUNT($F$76:AI76)&gt;$F$50,AI75&lt;=$K$68,$K$59="Interest only"),$L$63,IF(AND(COUNT($F$76:AI76)&gt;$F$50,AI75&lt;=$K$68,$K$59="Amortizing (Interest+Repayment)"),$L$64,0))</f>
        <v>0</v>
      </c>
      <c r="AJ105" s="12">
        <f>-IF(AND(COUNT($F$76:AJ76)&gt;$F$50,AJ75&lt;=$K$68,$K$59="Interest only"),$L$63,IF(AND(COUNT($F$76:AJ76)&gt;$F$50,AJ75&lt;=$K$68,$K$59="Amortizing (Interest+Repayment)"),$L$64,0))</f>
        <v>0</v>
      </c>
      <c r="AK105" s="12">
        <f>-IF(AND(COUNT($F$76:AK76)&gt;$F$50,AK75&lt;=$K$68,$K$59="Interest only"),$L$63,IF(AND(COUNT($F$76:AK76)&gt;$F$50,AK75&lt;=$K$68,$K$59="Amortizing (Interest+Repayment)"),$L$64,0))</f>
        <v>0</v>
      </c>
      <c r="AL105" s="12">
        <f>-IF(AND(COUNT($F$76:AL76)&gt;$F$50,AL75&lt;=$K$68,$K$59="Interest only"),$L$63,IF(AND(COUNT($F$76:AL76)&gt;$F$50,AL75&lt;=$K$68,$K$59="Amortizing (Interest+Repayment)"),$L$64,0))</f>
        <v>0</v>
      </c>
      <c r="AM105" s="12">
        <f>-IF(AND(COUNT($F$76:AM76)&gt;$F$50,AM75&lt;=$K$68,$K$59="Interest only"),$L$63,IF(AND(COUNT($F$76:AM76)&gt;$F$50,AM75&lt;=$K$68,$K$59="Amortizing (Interest+Repayment)"),$L$64,0))</f>
        <v>0</v>
      </c>
      <c r="AN105" s="12">
        <f>-IF(AND(COUNT($F$76:AN76)&gt;$F$50,AN75&lt;=$K$68,$K$59="Interest only"),$L$63,IF(AND(COUNT($F$76:AN76)&gt;$F$50,AN75&lt;=$K$68,$K$59="Amortizing (Interest+Repayment)"),$L$64,0))</f>
        <v>0</v>
      </c>
      <c r="AO105" s="12">
        <f>-IF(AND(COUNT($F$76:AO76)&gt;$F$50,AO75&lt;=$K$68,$K$59="Interest only"),$L$63,IF(AND(COUNT($F$76:AO76)&gt;$F$50,AO75&lt;=$K$68,$K$59="Amortizing (Interest+Repayment)"),$L$64,0))</f>
        <v>0</v>
      </c>
      <c r="AP105" s="12">
        <f>-IF(AND(COUNT($F$76:AP76)&gt;$F$50,AP75&lt;=$K$68,$K$59="Interest only"),$L$63,IF(AND(COUNT($F$76:AP76)&gt;$F$50,AP75&lt;=$K$68,$K$59="Amortizing (Interest+Repayment)"),$L$64,0))</f>
        <v>0</v>
      </c>
      <c r="AQ105" s="12">
        <f>-IF(AND(COUNT($F$76:AQ76)&gt;$F$50,AQ75&lt;=$K$68,$K$59="Interest only"),$L$63,IF(AND(COUNT($F$76:AQ76)&gt;$F$50,AQ75&lt;=$K$68,$K$59="Amortizing (Interest+Repayment)"),$L$64,0))</f>
        <v>0</v>
      </c>
      <c r="AR105" s="12">
        <f>-IF(AND(COUNT($F$76:AR76)&gt;$F$50,AR75&lt;=$K$68,$K$59="Interest only"),$L$63,IF(AND(COUNT($F$76:AR76)&gt;$F$50,AR75&lt;=$K$68,$K$59="Amortizing (Interest+Repayment)"),$L$64,0))</f>
        <v>0</v>
      </c>
      <c r="AS105" s="12">
        <f>-IF(AND(COUNT($F$76:AS76)&gt;$F$50,AS75&lt;=$K$68,$K$59="Interest only"),$L$63,IF(AND(COUNT($F$76:AS76)&gt;$F$50,AS75&lt;=$K$68,$K$59="Amortizing (Interest+Repayment)"),$L$64,0))</f>
        <v>0</v>
      </c>
      <c r="AT105" s="12">
        <f>-IF(AND(COUNT($F$76:AT76)&gt;$F$50,AT75&lt;=$K$68,$K$59="Interest only"),$L$63,IF(AND(COUNT($F$76:AT76)&gt;$F$50,AT75&lt;=$K$68,$K$59="Amortizing (Interest+Repayment)"),$L$64,0))</f>
        <v>0</v>
      </c>
      <c r="AU105" s="12">
        <f>-IF(AND(COUNT($F$76:AU76)&gt;$F$50,AU75&lt;=$K$68,$K$59="Interest only"),$L$63,IF(AND(COUNT($F$76:AU76)&gt;$F$50,AU75&lt;=$K$68,$K$59="Amortizing (Interest+Repayment)"),$L$64,0))</f>
        <v>0</v>
      </c>
      <c r="AV105" s="12">
        <f>-IF(AND(COUNT($F$76:AV76)&gt;$F$50,AV75&lt;=$K$68,$K$59="Interest only"),$L$63,IF(AND(COUNT($F$76:AV76)&gt;$F$50,AV75&lt;=$K$68,$K$59="Amortizing (Interest+Repayment)"),$L$64,0))</f>
        <v>0</v>
      </c>
      <c r="AW105" s="12">
        <f>-IF(AND(COUNT($F$76:AW76)&gt;$F$50,AW75&lt;=$K$68,$K$59="Interest only"),$L$63,IF(AND(COUNT($F$76:AW76)&gt;$F$50,AW75&lt;=$K$68,$K$59="Amortizing (Interest+Repayment)"),$L$64,0))</f>
        <v>0</v>
      </c>
      <c r="AX105" s="12">
        <f>-IF(AND(COUNT($F$76:AX76)&gt;$F$50,AX75&lt;=$K$68,$K$59="Interest only"),$L$63,IF(AND(COUNT($F$76:AX76)&gt;$F$50,AX75&lt;=$K$68,$K$59="Amortizing (Interest+Repayment)"),$L$64,0))</f>
        <v>0</v>
      </c>
      <c r="AY105" s="12">
        <f>-IF(AND(COUNT($F$76:AY76)&gt;$F$50,AY75&lt;=$K$68,$K$59="Interest only"),$L$63,IF(AND(COUNT($F$76:AY76)&gt;$F$50,AY75&lt;=$K$68,$K$59="Amortizing (Interest+Repayment)"),$L$64,0))</f>
        <v>0</v>
      </c>
      <c r="AZ105" s="12">
        <f>-IF(AND(COUNT($F$76:AZ76)&gt;$F$50,AZ75&lt;=$K$68,$K$59="Interest only"),$L$63,IF(AND(COUNT($F$76:AZ76)&gt;$F$50,AZ75&lt;=$K$68,$K$59="Amortizing (Interest+Repayment)"),$L$64,0))</f>
        <v>0</v>
      </c>
      <c r="BA105" s="12">
        <f>-IF(AND(COUNT($F$76:BA76)&gt;$F$50,BA75&lt;=$K$68,$K$59="Interest only"),$L$63,IF(AND(COUNT($F$76:BA76)&gt;$F$50,BA75&lt;=$K$68,$K$59="Amortizing (Interest+Repayment)"),$L$64,0))</f>
        <v>0</v>
      </c>
      <c r="BB105" s="12">
        <f>-IF(AND(COUNT($F$76:BB76)&gt;$F$50,BB75&lt;=$K$68,$K$59="Interest only"),$L$63,IF(AND(COUNT($F$76:BB76)&gt;$F$50,BB75&lt;=$K$68,$K$59="Amortizing (Interest+Repayment)"),$L$64,0))</f>
        <v>0</v>
      </c>
      <c r="BC105" s="12">
        <f>-IF(AND(COUNT($F$76:BC76)&gt;$F$50,BC75&lt;=$K$68,$K$59="Interest only"),$L$63,IF(AND(COUNT($F$76:BC76)&gt;$F$50,BC75&lt;=$K$68,$K$59="Amortizing (Interest+Repayment)"),$L$64,0))</f>
        <v>0</v>
      </c>
      <c r="BD105" s="12">
        <f>-IF(AND(COUNT($F$76:BD76)&gt;$F$50,BD75&lt;=$K$68,$K$59="Interest only"),$L$63,IF(AND(COUNT($F$76:BD76)&gt;$F$50,BD75&lt;=$K$68,$K$59="Amortizing (Interest+Repayment)"),$L$64,0))</f>
        <v>0</v>
      </c>
      <c r="BE105" s="12">
        <f>-IF(AND(COUNT($F$76:BE76)&gt;$F$50,BE75&lt;=$K$68,$K$59="Interest only"),$L$63,IF(AND(COUNT($F$76:BE76)&gt;$F$50,BE75&lt;=$K$68,$K$59="Amortizing (Interest+Repayment)"),$L$64,0))</f>
        <v>0</v>
      </c>
      <c r="BF105" s="12">
        <f>-IF(AND(COUNT($F$76:BF76)&gt;$F$50,BF75&lt;=$K$68,$K$59="Interest only"),$L$63,IF(AND(COUNT($F$76:BF76)&gt;$F$50,BF75&lt;=$K$68,$K$59="Amortizing (Interest+Repayment)"),$L$64,0))</f>
        <v>0</v>
      </c>
      <c r="BG105" s="12">
        <f>-IF(AND(COUNT($F$76:BG76)&gt;$F$50,BG75&lt;=$K$68,$K$59="Interest only"),$L$63,IF(AND(COUNT($F$76:BG76)&gt;$F$50,BG75&lt;=$K$68,$K$59="Amortizing (Interest+Repayment)"),$L$64,0))</f>
        <v>0</v>
      </c>
      <c r="BH105" s="12">
        <f>-IF(AND(COUNT($F$76:BH76)&gt;$F$50,BH75&lt;=$K$68,$K$59="Interest only"),$L$63,IF(AND(COUNT($F$76:BH76)&gt;$F$50,BH75&lt;=$K$68,$K$59="Amortizing (Interest+Repayment)"),$L$64,0))</f>
        <v>0</v>
      </c>
      <c r="BI105" s="12">
        <f>-IF(AND(COUNT($F$76:BI76)&gt;$F$50,BI75&lt;=$K$68,$K$59="Interest only"),$L$63,IF(AND(COUNT($F$76:BI76)&gt;$F$50,BI75&lt;=$K$68,$K$59="Amortizing (Interest+Repayment)"),$L$64,0))</f>
        <v>0</v>
      </c>
      <c r="BJ105" s="12">
        <f>-IF(AND(COUNT($F$76:BJ76)&gt;$F$50,BJ75&lt;=$K$68,$K$59="Interest only"),$L$63,IF(AND(COUNT($F$76:BJ76)&gt;$F$50,BJ75&lt;=$K$68,$K$59="Amortizing (Interest+Repayment)"),$L$64,0))</f>
        <v>0</v>
      </c>
      <c r="BK105" s="12">
        <f>-IF(AND(COUNT($F$76:BK76)&gt;$F$50,BK75&lt;=$K$68,$K$59="Interest only"),$L$63,IF(AND(COUNT($F$76:BK76)&gt;$F$50,BK75&lt;=$K$68,$K$59="Amortizing (Interest+Repayment)"),$L$64,0))</f>
        <v>0</v>
      </c>
      <c r="BL105" s="12">
        <f>-IF(AND(COUNT($F$76:BL76)&gt;$F$50,BL75&lt;=$K$68,$K$59="Interest only"),$L$63,IF(AND(COUNT($F$76:BL76)&gt;$F$50,BL75&lt;=$K$68,$K$59="Amortizing (Interest+Repayment)"),$L$64,0))</f>
        <v>0</v>
      </c>
      <c r="BM105" s="12">
        <f>-IF(AND(COUNT($F$76:BM76)&gt;$F$50,BM75&lt;=$K$68,$K$59="Interest only"),$L$63,IF(AND(COUNT($F$76:BM76)&gt;$F$50,BM75&lt;=$K$68,$K$59="Amortizing (Interest+Repayment)"),$L$64,0))</f>
        <v>0</v>
      </c>
    </row>
    <row r="106" spans="2:76" s="1" customFormat="1" ht="10" x14ac:dyDescent="0.15">
      <c r="B106" s="12" t="s">
        <v>93</v>
      </c>
      <c r="E106" s="12">
        <f t="shared" ref="E106:AJ106" si="48">IF(E92&gt;0,-$L$61,0)</f>
        <v>0</v>
      </c>
      <c r="F106" s="12">
        <f t="shared" si="48"/>
        <v>0</v>
      </c>
      <c r="G106" s="12">
        <f t="shared" si="48"/>
        <v>0</v>
      </c>
      <c r="H106" s="12">
        <f t="shared" si="48"/>
        <v>0</v>
      </c>
      <c r="I106" s="12">
        <f t="shared" si="48"/>
        <v>0</v>
      </c>
      <c r="J106" s="12">
        <f t="shared" si="48"/>
        <v>0</v>
      </c>
      <c r="K106" s="12">
        <f t="shared" si="48"/>
        <v>0</v>
      </c>
      <c r="L106" s="12">
        <f t="shared" si="48"/>
        <v>0</v>
      </c>
      <c r="M106" s="12">
        <f t="shared" si="48"/>
        <v>0</v>
      </c>
      <c r="N106" s="12">
        <f t="shared" si="48"/>
        <v>0</v>
      </c>
      <c r="O106" s="12">
        <f t="shared" si="48"/>
        <v>0</v>
      </c>
      <c r="P106" s="12">
        <f t="shared" si="48"/>
        <v>0</v>
      </c>
      <c r="Q106" s="12">
        <f t="shared" si="48"/>
        <v>0</v>
      </c>
      <c r="R106" s="12">
        <f t="shared" si="48"/>
        <v>0</v>
      </c>
      <c r="S106" s="12">
        <f t="shared" si="48"/>
        <v>0</v>
      </c>
      <c r="T106" s="12">
        <f t="shared" si="48"/>
        <v>0</v>
      </c>
      <c r="U106" s="12">
        <f t="shared" si="48"/>
        <v>0</v>
      </c>
      <c r="V106" s="12">
        <f t="shared" si="48"/>
        <v>0</v>
      </c>
      <c r="W106" s="12">
        <f t="shared" si="48"/>
        <v>0</v>
      </c>
      <c r="X106" s="12">
        <f t="shared" si="48"/>
        <v>0</v>
      </c>
      <c r="Y106" s="12">
        <f t="shared" si="48"/>
        <v>0</v>
      </c>
      <c r="Z106" s="12">
        <f t="shared" si="48"/>
        <v>0</v>
      </c>
      <c r="AA106" s="12">
        <f t="shared" si="48"/>
        <v>0</v>
      </c>
      <c r="AB106" s="12">
        <f t="shared" si="48"/>
        <v>0</v>
      </c>
      <c r="AC106" s="12">
        <f t="shared" si="48"/>
        <v>0</v>
      </c>
      <c r="AD106" s="12">
        <f t="shared" si="48"/>
        <v>0</v>
      </c>
      <c r="AE106" s="12">
        <f t="shared" si="48"/>
        <v>0</v>
      </c>
      <c r="AF106" s="12">
        <f t="shared" si="48"/>
        <v>0</v>
      </c>
      <c r="AG106" s="12">
        <f t="shared" si="48"/>
        <v>0</v>
      </c>
      <c r="AH106" s="12">
        <f t="shared" si="48"/>
        <v>0</v>
      </c>
      <c r="AI106" s="12">
        <f t="shared" si="48"/>
        <v>0</v>
      </c>
      <c r="AJ106" s="12">
        <f t="shared" si="48"/>
        <v>0</v>
      </c>
      <c r="AK106" s="12">
        <f t="shared" ref="AK106:BL106" si="49">IF(AK92&gt;0,-$L$61,0)</f>
        <v>0</v>
      </c>
      <c r="AL106" s="12">
        <f t="shared" si="49"/>
        <v>0</v>
      </c>
      <c r="AM106" s="12">
        <f t="shared" si="49"/>
        <v>0</v>
      </c>
      <c r="AN106" s="12">
        <f t="shared" si="49"/>
        <v>0</v>
      </c>
      <c r="AO106" s="12">
        <f t="shared" si="49"/>
        <v>0</v>
      </c>
      <c r="AP106" s="12">
        <f t="shared" si="49"/>
        <v>0</v>
      </c>
      <c r="AQ106" s="12">
        <f t="shared" si="49"/>
        <v>0</v>
      </c>
      <c r="AR106" s="12">
        <f t="shared" si="49"/>
        <v>0</v>
      </c>
      <c r="AS106" s="12">
        <f t="shared" si="49"/>
        <v>0</v>
      </c>
      <c r="AT106" s="12">
        <f t="shared" si="49"/>
        <v>0</v>
      </c>
      <c r="AU106" s="12">
        <f t="shared" si="49"/>
        <v>0</v>
      </c>
      <c r="AV106" s="12">
        <f t="shared" si="49"/>
        <v>0</v>
      </c>
      <c r="AW106" s="12">
        <f t="shared" si="49"/>
        <v>0</v>
      </c>
      <c r="AX106" s="12">
        <f t="shared" si="49"/>
        <v>0</v>
      </c>
      <c r="AY106" s="12">
        <f t="shared" si="49"/>
        <v>0</v>
      </c>
      <c r="AZ106" s="12">
        <f t="shared" si="49"/>
        <v>0</v>
      </c>
      <c r="BA106" s="12">
        <f t="shared" si="49"/>
        <v>0</v>
      </c>
      <c r="BB106" s="12">
        <f t="shared" si="49"/>
        <v>0</v>
      </c>
      <c r="BC106" s="12">
        <f t="shared" si="49"/>
        <v>0</v>
      </c>
      <c r="BD106" s="12">
        <f t="shared" si="49"/>
        <v>0</v>
      </c>
      <c r="BE106" s="12">
        <f t="shared" si="49"/>
        <v>0</v>
      </c>
      <c r="BF106" s="12">
        <f t="shared" si="49"/>
        <v>0</v>
      </c>
      <c r="BG106" s="12">
        <f t="shared" si="49"/>
        <v>0</v>
      </c>
      <c r="BH106" s="12">
        <f t="shared" si="49"/>
        <v>0</v>
      </c>
      <c r="BI106" s="12">
        <f t="shared" si="49"/>
        <v>0</v>
      </c>
      <c r="BJ106" s="12">
        <f t="shared" si="49"/>
        <v>0</v>
      </c>
      <c r="BK106" s="12">
        <f t="shared" si="49"/>
        <v>0</v>
      </c>
      <c r="BL106" s="12">
        <f t="shared" si="49"/>
        <v>0</v>
      </c>
      <c r="BM106" s="12">
        <f>IF(BM92&gt;0,-$L$61+SUM(E111:BM111),0)</f>
        <v>0</v>
      </c>
    </row>
    <row r="107" spans="2:76" s="1" customFormat="1" ht="10" x14ac:dyDescent="0.15">
      <c r="B107" s="32" t="str">
        <f>N70</f>
        <v>Levered CF</v>
      </c>
      <c r="C107" s="36"/>
      <c r="D107" s="36"/>
      <c r="E107" s="13">
        <f t="shared" ref="E107:AJ107" si="50">SUM(E94:E106)</f>
        <v>-43999</v>
      </c>
      <c r="F107" s="13">
        <f t="shared" si="50"/>
        <v>0</v>
      </c>
      <c r="G107" s="13">
        <f t="shared" si="50"/>
        <v>0</v>
      </c>
      <c r="H107" s="13">
        <f t="shared" si="50"/>
        <v>0</v>
      </c>
      <c r="I107" s="13">
        <f t="shared" si="50"/>
        <v>0</v>
      </c>
      <c r="J107" s="13">
        <f t="shared" si="50"/>
        <v>0</v>
      </c>
      <c r="K107" s="13">
        <f t="shared" si="50"/>
        <v>0</v>
      </c>
      <c r="L107" s="13">
        <f t="shared" si="50"/>
        <v>0</v>
      </c>
      <c r="M107" s="13">
        <f t="shared" si="50"/>
        <v>0</v>
      </c>
      <c r="N107" s="13">
        <f t="shared" si="50"/>
        <v>0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3">
        <f t="shared" si="50"/>
        <v>0</v>
      </c>
      <c r="T107" s="13">
        <f t="shared" si="50"/>
        <v>0</v>
      </c>
      <c r="U107" s="13">
        <f t="shared" si="50"/>
        <v>0</v>
      </c>
      <c r="V107" s="13">
        <f t="shared" si="50"/>
        <v>0</v>
      </c>
      <c r="W107" s="13">
        <f t="shared" si="50"/>
        <v>0</v>
      </c>
      <c r="X107" s="13">
        <f t="shared" si="50"/>
        <v>0</v>
      </c>
      <c r="Y107" s="13">
        <f t="shared" si="50"/>
        <v>0</v>
      </c>
      <c r="Z107" s="13">
        <f t="shared" si="50"/>
        <v>0</v>
      </c>
      <c r="AA107" s="13">
        <f t="shared" si="50"/>
        <v>0</v>
      </c>
      <c r="AB107" s="13">
        <f t="shared" si="50"/>
        <v>0</v>
      </c>
      <c r="AC107" s="13">
        <f t="shared" si="50"/>
        <v>0</v>
      </c>
      <c r="AD107" s="13">
        <f t="shared" si="50"/>
        <v>0</v>
      </c>
      <c r="AE107" s="13">
        <f t="shared" si="50"/>
        <v>0</v>
      </c>
      <c r="AF107" s="13">
        <f t="shared" si="50"/>
        <v>0</v>
      </c>
      <c r="AG107" s="13">
        <f t="shared" si="50"/>
        <v>0</v>
      </c>
      <c r="AH107" s="13">
        <f t="shared" si="50"/>
        <v>0</v>
      </c>
      <c r="AI107" s="13">
        <f t="shared" si="50"/>
        <v>0</v>
      </c>
      <c r="AJ107" s="13">
        <f t="shared" si="50"/>
        <v>0</v>
      </c>
      <c r="AK107" s="13">
        <f t="shared" ref="AK107:BM107" si="51">SUM(AK94:AK106)</f>
        <v>0</v>
      </c>
      <c r="AL107" s="13">
        <f t="shared" si="51"/>
        <v>0</v>
      </c>
      <c r="AM107" s="13">
        <f t="shared" si="51"/>
        <v>0</v>
      </c>
      <c r="AN107" s="13">
        <f t="shared" si="51"/>
        <v>0</v>
      </c>
      <c r="AO107" s="13">
        <f t="shared" si="51"/>
        <v>0</v>
      </c>
      <c r="AP107" s="13">
        <f t="shared" si="51"/>
        <v>0</v>
      </c>
      <c r="AQ107" s="13">
        <f t="shared" si="51"/>
        <v>0</v>
      </c>
      <c r="AR107" s="13">
        <f t="shared" si="51"/>
        <v>0</v>
      </c>
      <c r="AS107" s="13">
        <f t="shared" si="51"/>
        <v>0</v>
      </c>
      <c r="AT107" s="13">
        <f t="shared" si="51"/>
        <v>0</v>
      </c>
      <c r="AU107" s="13">
        <f t="shared" si="51"/>
        <v>0</v>
      </c>
      <c r="AV107" s="13">
        <f t="shared" si="51"/>
        <v>0</v>
      </c>
      <c r="AW107" s="13">
        <f t="shared" si="51"/>
        <v>0</v>
      </c>
      <c r="AX107" s="13">
        <f t="shared" si="51"/>
        <v>0</v>
      </c>
      <c r="AY107" s="13">
        <f t="shared" si="51"/>
        <v>0</v>
      </c>
      <c r="AZ107" s="13">
        <f t="shared" si="51"/>
        <v>0</v>
      </c>
      <c r="BA107" s="13">
        <f t="shared" si="51"/>
        <v>0</v>
      </c>
      <c r="BB107" s="13">
        <f t="shared" si="51"/>
        <v>0</v>
      </c>
      <c r="BC107" s="13">
        <f t="shared" si="51"/>
        <v>0</v>
      </c>
      <c r="BD107" s="13">
        <f t="shared" si="51"/>
        <v>0</v>
      </c>
      <c r="BE107" s="13">
        <f t="shared" si="51"/>
        <v>0</v>
      </c>
      <c r="BF107" s="13">
        <f t="shared" si="51"/>
        <v>0</v>
      </c>
      <c r="BG107" s="13">
        <f t="shared" si="51"/>
        <v>0</v>
      </c>
      <c r="BH107" s="13">
        <f t="shared" si="51"/>
        <v>0</v>
      </c>
      <c r="BI107" s="13">
        <f t="shared" si="51"/>
        <v>0</v>
      </c>
      <c r="BJ107" s="13">
        <f t="shared" si="51"/>
        <v>0</v>
      </c>
      <c r="BK107" s="13">
        <f t="shared" si="51"/>
        <v>0</v>
      </c>
      <c r="BL107" s="13">
        <f t="shared" si="51"/>
        <v>0</v>
      </c>
      <c r="BM107" s="13">
        <f t="shared" si="51"/>
        <v>0</v>
      </c>
    </row>
    <row r="108" spans="2:76" s="1" customFormat="1" ht="10" x14ac:dyDescent="0.15">
      <c r="B108" s="14" t="s">
        <v>19</v>
      </c>
      <c r="E108" s="14">
        <f>E107</f>
        <v>-43999</v>
      </c>
      <c r="F108" s="14">
        <f>F107+E108</f>
        <v>-43999</v>
      </c>
      <c r="G108" s="14">
        <f t="shared" ref="G108:J108" si="52">G107+F108</f>
        <v>-43999</v>
      </c>
      <c r="H108" s="14">
        <f t="shared" si="52"/>
        <v>-43999</v>
      </c>
      <c r="I108" s="14">
        <f t="shared" si="52"/>
        <v>-43999</v>
      </c>
      <c r="J108" s="14">
        <f t="shared" si="52"/>
        <v>-43999</v>
      </c>
      <c r="K108" s="14">
        <f t="shared" ref="K108" si="53">K107+J108</f>
        <v>-43999</v>
      </c>
      <c r="L108" s="14">
        <f t="shared" ref="L108" si="54">L107+K108</f>
        <v>-43999</v>
      </c>
      <c r="M108" s="14">
        <f t="shared" ref="M108:N108" si="55">M107+L108</f>
        <v>-43999</v>
      </c>
      <c r="N108" s="14">
        <f t="shared" si="55"/>
        <v>-43999</v>
      </c>
      <c r="O108" s="14">
        <f t="shared" ref="O108:P108" si="56">O107+N108</f>
        <v>-43999</v>
      </c>
      <c r="P108" s="14">
        <f t="shared" si="56"/>
        <v>-43999</v>
      </c>
      <c r="Q108" s="14">
        <f t="shared" ref="Q108" si="57">Q107+P108</f>
        <v>-43999</v>
      </c>
      <c r="R108" s="14">
        <f t="shared" ref="R108" si="58">R107+Q108</f>
        <v>-43999</v>
      </c>
      <c r="S108" s="14">
        <f t="shared" ref="S108" si="59">S107+R108</f>
        <v>-43999</v>
      </c>
      <c r="T108" s="14">
        <f t="shared" ref="T108" si="60">T107+S108</f>
        <v>-43999</v>
      </c>
      <c r="U108" s="14">
        <f t="shared" ref="U108" si="61">U107+T108</f>
        <v>-43999</v>
      </c>
      <c r="V108" s="14">
        <f t="shared" ref="V108" si="62">V107+U108</f>
        <v>-43999</v>
      </c>
      <c r="W108" s="14">
        <f t="shared" ref="W108" si="63">W107+V108</f>
        <v>-43999</v>
      </c>
      <c r="X108" s="14">
        <f t="shared" ref="X108" si="64">X107+W108</f>
        <v>-43999</v>
      </c>
      <c r="Y108" s="14">
        <f t="shared" ref="Y108:Z108" si="65">Y107+X108</f>
        <v>-43999</v>
      </c>
      <c r="Z108" s="14">
        <f t="shared" si="65"/>
        <v>-43999</v>
      </c>
      <c r="AA108" s="14">
        <f t="shared" ref="AA108" si="66">AA107+Z108</f>
        <v>-43999</v>
      </c>
      <c r="AB108" s="14">
        <f t="shared" ref="AB108" si="67">AB107+AA108</f>
        <v>-43999</v>
      </c>
      <c r="AC108" s="14">
        <f t="shared" ref="AC108" si="68">AC107+AB108</f>
        <v>-43999</v>
      </c>
      <c r="AD108" s="14">
        <f t="shared" ref="AD108" si="69">AD107+AC108</f>
        <v>-43999</v>
      </c>
      <c r="AE108" s="14">
        <f t="shared" ref="AE108" si="70">AE107+AD108</f>
        <v>-43999</v>
      </c>
      <c r="AF108" s="14">
        <f t="shared" ref="AF108" si="71">AF107+AE108</f>
        <v>-43999</v>
      </c>
      <c r="AG108" s="14">
        <f t="shared" ref="AG108" si="72">AG107+AF108</f>
        <v>-43999</v>
      </c>
      <c r="AH108" s="14">
        <f t="shared" ref="AH108" si="73">AH107+AG108</f>
        <v>-43999</v>
      </c>
      <c r="AI108" s="14">
        <f t="shared" ref="AI108:AJ108" si="74">AI107+AH108</f>
        <v>-43999</v>
      </c>
      <c r="AJ108" s="14">
        <f t="shared" si="74"/>
        <v>-43999</v>
      </c>
      <c r="AK108" s="14">
        <f t="shared" ref="AK108" si="75">AK107+AJ108</f>
        <v>-43999</v>
      </c>
      <c r="AL108" s="14">
        <f t="shared" ref="AL108" si="76">AL107+AK108</f>
        <v>-43999</v>
      </c>
      <c r="AM108" s="14">
        <f t="shared" ref="AM108" si="77">AM107+AL108</f>
        <v>-43999</v>
      </c>
      <c r="AN108" s="14">
        <f t="shared" ref="AN108" si="78">AN107+AM108</f>
        <v>-43999</v>
      </c>
      <c r="AO108" s="14">
        <f t="shared" ref="AO108" si="79">AO107+AN108</f>
        <v>-43999</v>
      </c>
      <c r="AP108" s="14">
        <f t="shared" ref="AP108" si="80">AP107+AO108</f>
        <v>-43999</v>
      </c>
      <c r="AQ108" s="14">
        <f t="shared" ref="AQ108" si="81">AQ107+AP108</f>
        <v>-43999</v>
      </c>
      <c r="AR108" s="14">
        <f t="shared" ref="AR108" si="82">AR107+AQ108</f>
        <v>-43999</v>
      </c>
      <c r="AS108" s="14">
        <f t="shared" ref="AS108:AT108" si="83">AS107+AR108</f>
        <v>-43999</v>
      </c>
      <c r="AT108" s="14">
        <f t="shared" si="83"/>
        <v>-43999</v>
      </c>
      <c r="AU108" s="14">
        <f t="shared" ref="AU108" si="84">AU107+AT108</f>
        <v>-43999</v>
      </c>
      <c r="AV108" s="14">
        <f t="shared" ref="AV108" si="85">AV107+AU108</f>
        <v>-43999</v>
      </c>
      <c r="AW108" s="14">
        <f t="shared" ref="AW108" si="86">AW107+AV108</f>
        <v>-43999</v>
      </c>
      <c r="AX108" s="14">
        <f t="shared" ref="AX108" si="87">AX107+AW108</f>
        <v>-43999</v>
      </c>
      <c r="AY108" s="14">
        <f t="shared" ref="AY108" si="88">AY107+AX108</f>
        <v>-43999</v>
      </c>
      <c r="AZ108" s="14">
        <f t="shared" ref="AZ108" si="89">AZ107+AY108</f>
        <v>-43999</v>
      </c>
      <c r="BA108" s="14">
        <f t="shared" ref="BA108" si="90">BA107+AZ108</f>
        <v>-43999</v>
      </c>
      <c r="BB108" s="14">
        <f t="shared" ref="BB108" si="91">BB107+BA108</f>
        <v>-43999</v>
      </c>
      <c r="BC108" s="14">
        <f t="shared" ref="BC108:BD108" si="92">BC107+BB108</f>
        <v>-43999</v>
      </c>
      <c r="BD108" s="14">
        <f t="shared" si="92"/>
        <v>-43999</v>
      </c>
      <c r="BE108" s="14">
        <f t="shared" ref="BE108" si="93">BE107+BD108</f>
        <v>-43999</v>
      </c>
      <c r="BF108" s="14">
        <f t="shared" ref="BF108" si="94">BF107+BE108</f>
        <v>-43999</v>
      </c>
      <c r="BG108" s="14">
        <f t="shared" ref="BG108" si="95">BG107+BF108</f>
        <v>-43999</v>
      </c>
      <c r="BH108" s="14">
        <f t="shared" ref="BH108" si="96">BH107+BG108</f>
        <v>-43999</v>
      </c>
      <c r="BI108" s="14">
        <f t="shared" ref="BI108" si="97">BI107+BH108</f>
        <v>-43999</v>
      </c>
      <c r="BJ108" s="14">
        <f t="shared" ref="BJ108" si="98">BJ107+BI108</f>
        <v>-43999</v>
      </c>
      <c r="BK108" s="14">
        <f t="shared" ref="BK108" si="99">BK107+BJ108</f>
        <v>-43999</v>
      </c>
      <c r="BL108" s="14">
        <f t="shared" ref="BL108:BM108" si="100">BL107+BK108</f>
        <v>-43999</v>
      </c>
      <c r="BM108" s="14">
        <f t="shared" si="100"/>
        <v>-43999</v>
      </c>
    </row>
    <row r="109" spans="2:76" s="1" customFormat="1" ht="10" x14ac:dyDescent="0.15">
      <c r="B109" s="12"/>
    </row>
    <row r="110" spans="2:76" s="1" customFormat="1" ht="10" x14ac:dyDescent="0.15">
      <c r="B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</row>
    <row r="111" spans="2:76" s="1" customFormat="1" x14ac:dyDescent="0.2">
      <c r="B111" s="86" t="s">
        <v>132</v>
      </c>
      <c r="C111" s="87"/>
      <c r="D111" s="87"/>
      <c r="E111" s="86">
        <f>IF($K$59="interest only",0,IF(AND(E$75&gt;$F$50,E$75&lt;=$K$68),PPMT($K$64/12,1,$L60*12+1-E$75,-$L$61),0))</f>
        <v>0</v>
      </c>
      <c r="F111" s="86">
        <f>IFERROR(IF($K$59="interest only",0,IF(AND(F$75&gt;$F$50,F$75&lt;=$K$68),PPMT($K$64/12,1,$L60*12+1-F$75,-$L$61),0)),0)</f>
        <v>0</v>
      </c>
      <c r="G111" s="86">
        <f t="shared" ref="G111:BM111" si="101">IFERROR(IF($K$59="interest only",0,IF(AND(G$75&gt;$F$50,G$75&lt;=$K$68),PPMT($K$64/12,1,$L60*12+1-G$75,-$L$61),0)),0)</f>
        <v>0</v>
      </c>
      <c r="H111" s="86">
        <f t="shared" si="101"/>
        <v>0</v>
      </c>
      <c r="I111" s="86">
        <f t="shared" si="101"/>
        <v>0</v>
      </c>
      <c r="J111" s="86">
        <f t="shared" si="101"/>
        <v>0</v>
      </c>
      <c r="K111" s="86">
        <f t="shared" si="101"/>
        <v>0</v>
      </c>
      <c r="L111" s="86">
        <f t="shared" si="101"/>
        <v>0</v>
      </c>
      <c r="M111" s="86">
        <f t="shared" si="101"/>
        <v>0</v>
      </c>
      <c r="N111" s="86">
        <f t="shared" si="101"/>
        <v>0</v>
      </c>
      <c r="O111" s="86">
        <f t="shared" si="101"/>
        <v>0</v>
      </c>
      <c r="P111" s="86">
        <f t="shared" si="101"/>
        <v>0</v>
      </c>
      <c r="Q111" s="86">
        <f t="shared" si="101"/>
        <v>0</v>
      </c>
      <c r="R111" s="86">
        <f t="shared" si="101"/>
        <v>0</v>
      </c>
      <c r="S111" s="86">
        <f t="shared" si="101"/>
        <v>0</v>
      </c>
      <c r="T111" s="86">
        <f t="shared" si="101"/>
        <v>0</v>
      </c>
      <c r="U111" s="86">
        <f t="shared" si="101"/>
        <v>0</v>
      </c>
      <c r="V111" s="86">
        <f t="shared" si="101"/>
        <v>0</v>
      </c>
      <c r="W111" s="86">
        <f t="shared" si="101"/>
        <v>0</v>
      </c>
      <c r="X111" s="86">
        <f t="shared" si="101"/>
        <v>0</v>
      </c>
      <c r="Y111" s="86">
        <f t="shared" si="101"/>
        <v>0</v>
      </c>
      <c r="Z111" s="86">
        <f t="shared" si="101"/>
        <v>0</v>
      </c>
      <c r="AA111" s="86">
        <f t="shared" si="101"/>
        <v>0</v>
      </c>
      <c r="AB111" s="86">
        <f t="shared" si="101"/>
        <v>0</v>
      </c>
      <c r="AC111" s="86">
        <f t="shared" si="101"/>
        <v>0</v>
      </c>
      <c r="AD111" s="86">
        <f t="shared" si="101"/>
        <v>0</v>
      </c>
      <c r="AE111" s="86">
        <f t="shared" si="101"/>
        <v>0</v>
      </c>
      <c r="AF111" s="86">
        <f t="shared" si="101"/>
        <v>0</v>
      </c>
      <c r="AG111" s="86">
        <f t="shared" si="101"/>
        <v>0</v>
      </c>
      <c r="AH111" s="86">
        <f t="shared" si="101"/>
        <v>0</v>
      </c>
      <c r="AI111" s="86">
        <f t="shared" si="101"/>
        <v>0</v>
      </c>
      <c r="AJ111" s="86">
        <f t="shared" si="101"/>
        <v>0</v>
      </c>
      <c r="AK111" s="86">
        <f t="shared" si="101"/>
        <v>0</v>
      </c>
      <c r="AL111" s="86">
        <f t="shared" si="101"/>
        <v>0</v>
      </c>
      <c r="AM111" s="86">
        <f t="shared" si="101"/>
        <v>0</v>
      </c>
      <c r="AN111" s="86">
        <f t="shared" si="101"/>
        <v>0</v>
      </c>
      <c r="AO111" s="86">
        <f t="shared" si="101"/>
        <v>0</v>
      </c>
      <c r="AP111" s="86">
        <f t="shared" si="101"/>
        <v>0</v>
      </c>
      <c r="AQ111" s="86">
        <f t="shared" si="101"/>
        <v>0</v>
      </c>
      <c r="AR111" s="86">
        <f t="shared" si="101"/>
        <v>0</v>
      </c>
      <c r="AS111" s="86">
        <f t="shared" si="101"/>
        <v>0</v>
      </c>
      <c r="AT111" s="86">
        <f t="shared" si="101"/>
        <v>0</v>
      </c>
      <c r="AU111" s="86">
        <f t="shared" si="101"/>
        <v>0</v>
      </c>
      <c r="AV111" s="86">
        <f t="shared" si="101"/>
        <v>0</v>
      </c>
      <c r="AW111" s="86">
        <f t="shared" si="101"/>
        <v>0</v>
      </c>
      <c r="AX111" s="86">
        <f t="shared" si="101"/>
        <v>0</v>
      </c>
      <c r="AY111" s="86">
        <f t="shared" si="101"/>
        <v>0</v>
      </c>
      <c r="AZ111" s="86">
        <f t="shared" si="101"/>
        <v>0</v>
      </c>
      <c r="BA111" s="86">
        <f t="shared" si="101"/>
        <v>0</v>
      </c>
      <c r="BB111" s="86">
        <f t="shared" si="101"/>
        <v>0</v>
      </c>
      <c r="BC111" s="86">
        <f t="shared" si="101"/>
        <v>0</v>
      </c>
      <c r="BD111" s="86">
        <f t="shared" si="101"/>
        <v>0</v>
      </c>
      <c r="BE111" s="86">
        <f t="shared" si="101"/>
        <v>0</v>
      </c>
      <c r="BF111" s="86">
        <f t="shared" si="101"/>
        <v>0</v>
      </c>
      <c r="BG111" s="86">
        <f t="shared" si="101"/>
        <v>0</v>
      </c>
      <c r="BH111" s="86">
        <f t="shared" si="101"/>
        <v>0</v>
      </c>
      <c r="BI111" s="86">
        <f t="shared" si="101"/>
        <v>0</v>
      </c>
      <c r="BJ111" s="86">
        <f t="shared" si="101"/>
        <v>0</v>
      </c>
      <c r="BK111" s="86">
        <f t="shared" si="101"/>
        <v>0</v>
      </c>
      <c r="BL111" s="86">
        <f t="shared" si="101"/>
        <v>0</v>
      </c>
      <c r="BM111" s="86">
        <f t="shared" si="101"/>
        <v>0</v>
      </c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</row>
  </sheetData>
  <mergeCells count="1">
    <mergeCell ref="K59:L59"/>
  </mergeCells>
  <conditionalFormatting sqref="D17:D18 L21 D21:D30 L27 L30 F36:F46 K37 L37:L46 K40:K46 P40:U70 F49 L49 F51:F58 L53 L55 L61:L65 F62 F66 F68:F70 L69:L70 BR72:XFD72">
    <cfRule type="expression" dxfId="41" priority="245">
      <formula>$F$14="$"</formula>
    </cfRule>
  </conditionalFormatting>
  <conditionalFormatting sqref="D17:D18 L21 D21:D30 L27 L30 F36:F46 K37 L37:L46 K40:K46 P40:U70 F49 L49 F51:F58 L53 L55 L61:L65 F62 F66 F68:F70 L69:L70">
    <cfRule type="expression" dxfId="40" priority="269">
      <formula>$F$14="€"</formula>
    </cfRule>
    <cfRule type="expression" dxfId="39" priority="270">
      <formula>$F$14="£"</formula>
    </cfRule>
  </conditionalFormatting>
  <conditionalFormatting sqref="E77:BM111">
    <cfRule type="expression" dxfId="38" priority="1">
      <formula>$F$14="$"</formula>
    </cfRule>
    <cfRule type="expression" dxfId="37" priority="2">
      <formula>$F$14="€"</formula>
    </cfRule>
    <cfRule type="expression" dxfId="36" priority="3">
      <formula>$F$14="£"</formula>
    </cfRule>
  </conditionalFormatting>
  <conditionalFormatting sqref="L13:L16">
    <cfRule type="expression" dxfId="35" priority="4">
      <formula>$F$14="$"</formula>
    </cfRule>
    <cfRule type="expression" dxfId="34" priority="5">
      <formula>$F$14="€"</formula>
    </cfRule>
    <cfRule type="expression" dxfId="33" priority="6">
      <formula>$F$14="£"</formula>
    </cfRule>
  </conditionalFormatting>
  <conditionalFormatting sqref="L19">
    <cfRule type="expression" dxfId="32" priority="7">
      <formula>$F$14="$"</formula>
    </cfRule>
    <cfRule type="expression" dxfId="31" priority="8">
      <formula>$F$14="€"</formula>
    </cfRule>
    <cfRule type="expression" dxfId="30" priority="9">
      <formula>$F$14="£"</formula>
    </cfRule>
  </conditionalFormatting>
  <conditionalFormatting sqref="L25">
    <cfRule type="expression" dxfId="29" priority="10">
      <formula>$F$14="$"</formula>
    </cfRule>
    <cfRule type="expression" dxfId="28" priority="11">
      <formula>$F$14="€"</formula>
    </cfRule>
    <cfRule type="expression" dxfId="27" priority="12">
      <formula>$F$14="£"</formula>
    </cfRule>
  </conditionalFormatting>
  <dataValidations count="4">
    <dataValidation type="whole" allowBlank="1" showInputMessage="1" showErrorMessage="1" sqref="K69" xr:uid="{34D3F8D5-7455-45C0-A815-67848ABC528E}">
      <formula1>1</formula1>
      <formula2>12</formula2>
    </dataValidation>
    <dataValidation type="whole" allowBlank="1" showInputMessage="1" showErrorMessage="1" sqref="K68" xr:uid="{1A303762-F81C-41E1-9F4F-9F8F9702C0A7}">
      <formula1>1</formula1>
      <formula2>60</formula2>
    </dataValidation>
    <dataValidation type="list" allowBlank="1" showInputMessage="1" showErrorMessage="1" sqref="F14" xr:uid="{BBC06300-DB42-4FEE-BE66-75F9442B0526}">
      <formula1>"$,£,€"</formula1>
    </dataValidation>
    <dataValidation type="list" allowBlank="1" showInputMessage="1" showErrorMessage="1" sqref="K59" xr:uid="{719775D7-4052-470D-9184-19D892C7A61D}">
      <formula1>"Interest only, Amortizing (Interest+Repayment)"</formula1>
    </dataValidation>
  </dataValidations>
  <pageMargins left="0.70866141732283472" right="0.70866141732283472" top="0.74803149606299213" bottom="0.74803149606299213" header="0.31496062992125984" footer="0.31496062992125984"/>
  <pageSetup scale="55" fitToHeight="2" orientation="landscape" r:id="rId1"/>
  <ignoredErrors>
    <ignoredError sqref="P57:T5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226F-9F6C-4048-A63D-A8F0A6539E8F}">
  <sheetPr>
    <outlinePr summaryBelow="0" summaryRight="0"/>
    <pageSetUpPr fitToPage="1"/>
  </sheetPr>
  <dimension ref="A9:BX112"/>
  <sheetViews>
    <sheetView showGridLines="0" topLeftCell="A72" zoomScale="166" zoomScaleNormal="166" zoomScaleSheetLayoutView="88" workbookViewId="0">
      <selection activeCell="N51" sqref="N51"/>
    </sheetView>
  </sheetViews>
  <sheetFormatPr baseColWidth="10" defaultColWidth="12.6640625" defaultRowHeight="13" x14ac:dyDescent="0.2"/>
  <cols>
    <col min="1" max="1" width="2.33203125" style="3" customWidth="1"/>
    <col min="2" max="9" width="10.83203125" style="3" customWidth="1"/>
    <col min="10" max="10" width="12.1640625" style="3" customWidth="1"/>
    <col min="11" max="11" width="13.6640625" style="3" customWidth="1"/>
    <col min="12" max="16" width="10.83203125" style="3" customWidth="1"/>
    <col min="17" max="17" width="14.6640625" style="3" customWidth="1"/>
    <col min="18" max="65" width="10.83203125" style="3" customWidth="1"/>
    <col min="66" max="16384" width="12.6640625" style="3"/>
  </cols>
  <sheetData>
    <row r="9" spans="1:31" x14ac:dyDescent="0.2">
      <c r="A9" s="1"/>
      <c r="B9" s="1"/>
      <c r="C9" s="1"/>
      <c r="D9" s="1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8" x14ac:dyDescent="0.25">
      <c r="A10" s="1"/>
      <c r="B10" s="64" t="str">
        <f>"BRRR- Property Investment Model - "&amp;F14</f>
        <v>BRRR- Property Investment Model - Property Name</v>
      </c>
      <c r="C10" s="64"/>
      <c r="D10" s="64"/>
      <c r="E10" s="112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"/>
      <c r="B11" s="1"/>
      <c r="C11" s="1"/>
      <c r="D11" s="1"/>
      <c r="E11" s="2"/>
      <c r="F11" s="1"/>
      <c r="G11" s="1"/>
      <c r="M11" s="1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"/>
      <c r="B12" s="71" t="s">
        <v>23</v>
      </c>
      <c r="C12" s="71"/>
      <c r="D12" s="71"/>
      <c r="E12" s="71"/>
      <c r="F12" s="71"/>
      <c r="G12" s="1"/>
      <c r="H12" s="56" t="s">
        <v>127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"/>
      <c r="G13" s="1"/>
      <c r="H13" s="3" t="s">
        <v>110</v>
      </c>
      <c r="U13" s="1"/>
      <c r="AA13" s="1"/>
      <c r="AB13" s="1"/>
      <c r="AC13" s="1"/>
      <c r="AD13" s="1"/>
      <c r="AE13" s="1"/>
    </row>
    <row r="14" spans="1:31" x14ac:dyDescent="0.2">
      <c r="A14" s="1"/>
      <c r="B14" s="1" t="s">
        <v>0</v>
      </c>
      <c r="C14" s="1"/>
      <c r="D14" s="1"/>
      <c r="E14" s="72"/>
      <c r="F14" s="73" t="s">
        <v>22</v>
      </c>
      <c r="H14" s="114" t="s">
        <v>101</v>
      </c>
      <c r="I14" s="114"/>
      <c r="J14" s="114"/>
      <c r="K14" s="114"/>
      <c r="L14" s="115">
        <f>SUM(L15:L17)</f>
        <v>58062.500000000007</v>
      </c>
      <c r="U14" s="1"/>
      <c r="AA14" s="1"/>
      <c r="AB14" s="1"/>
      <c r="AC14" s="1"/>
      <c r="AD14" s="1"/>
      <c r="AE14" s="1"/>
    </row>
    <row r="15" spans="1:31" x14ac:dyDescent="0.2">
      <c r="A15" s="1"/>
      <c r="B15" s="1" t="s">
        <v>32</v>
      </c>
      <c r="F15" s="75" t="s">
        <v>138</v>
      </c>
      <c r="H15" s="116" t="s">
        <v>103</v>
      </c>
      <c r="I15" s="116"/>
      <c r="J15" s="116"/>
      <c r="K15" s="116"/>
      <c r="L15" s="119">
        <f>F59</f>
        <v>24500</v>
      </c>
      <c r="M15" s="8"/>
      <c r="AA15" s="1"/>
      <c r="AB15" s="1"/>
      <c r="AC15" s="1"/>
      <c r="AD15" s="1"/>
      <c r="AE15" s="1"/>
    </row>
    <row r="16" spans="1:31" x14ac:dyDescent="0.2">
      <c r="A16" s="1"/>
      <c r="B16" s="1" t="s">
        <v>42</v>
      </c>
      <c r="F16" s="76">
        <v>45138</v>
      </c>
      <c r="H16" s="116" t="s">
        <v>102</v>
      </c>
      <c r="I16" s="116"/>
      <c r="J16" s="116"/>
      <c r="K16" s="116"/>
      <c r="L16" s="119">
        <f>F71</f>
        <v>25250</v>
      </c>
      <c r="AA16" s="1"/>
      <c r="AB16" s="1"/>
      <c r="AC16" s="1"/>
      <c r="AD16" s="1"/>
      <c r="AE16" s="1"/>
    </row>
    <row r="17" spans="1:31" x14ac:dyDescent="0.2">
      <c r="A17" s="1"/>
      <c r="G17" s="1"/>
      <c r="H17" s="116" t="s">
        <v>129</v>
      </c>
      <c r="I17" s="116"/>
      <c r="J17" s="116"/>
      <c r="K17" s="116"/>
      <c r="L17" s="119">
        <f>IFERROR(-MIN($E$109:$BM$1135)-SUM(L15:L16),0)</f>
        <v>8312.5000000000073</v>
      </c>
      <c r="M17" s="10"/>
      <c r="T17" s="16" t="str">
        <f>N41</f>
        <v>Purchase</v>
      </c>
      <c r="U17" s="16">
        <f>P41</f>
        <v>-70000</v>
      </c>
      <c r="W17" s="16"/>
      <c r="AA17" s="1"/>
      <c r="AB17" s="1"/>
      <c r="AC17" s="1"/>
      <c r="AD17" s="1"/>
      <c r="AE17" s="1"/>
    </row>
    <row r="18" spans="1:31" x14ac:dyDescent="0.2">
      <c r="A18" s="1"/>
      <c r="C18" s="33" t="s">
        <v>111</v>
      </c>
      <c r="D18" s="35">
        <f>F50</f>
        <v>52500</v>
      </c>
      <c r="G18" s="1"/>
      <c r="L18" s="22"/>
      <c r="M18" s="10"/>
      <c r="T18" s="16" t="str">
        <f>N42</f>
        <v>Property/Land Tax</v>
      </c>
      <c r="U18" s="16">
        <f>P42</f>
        <v>0</v>
      </c>
      <c r="W18" s="16"/>
      <c r="AA18" s="1"/>
      <c r="AB18" s="1"/>
      <c r="AC18" s="1"/>
      <c r="AD18" s="1"/>
      <c r="AE18" s="1"/>
    </row>
    <row r="19" spans="1:31" x14ac:dyDescent="0.2">
      <c r="A19" s="1"/>
      <c r="C19" s="33" t="s">
        <v>112</v>
      </c>
      <c r="D19" s="35">
        <f>F38</f>
        <v>17500</v>
      </c>
      <c r="G19" s="1"/>
      <c r="H19" s="3" t="s">
        <v>48</v>
      </c>
      <c r="L19" s="22"/>
      <c r="M19" s="10"/>
      <c r="T19" s="3" t="s">
        <v>114</v>
      </c>
      <c r="U19" s="16">
        <f>SUM(P44:P45)</f>
        <v>-2500</v>
      </c>
      <c r="W19" s="16"/>
      <c r="AA19" s="1"/>
      <c r="AB19" s="1"/>
      <c r="AC19" s="1"/>
      <c r="AD19" s="1"/>
      <c r="AE19" s="1"/>
    </row>
    <row r="20" spans="1:31" x14ac:dyDescent="0.2">
      <c r="A20" s="1"/>
      <c r="G20" s="1"/>
      <c r="H20" s="116" t="str">
        <f>H50</f>
        <v>Average rental cashflow pre debt (Year 1)</v>
      </c>
      <c r="I20" s="116"/>
      <c r="J20" s="116"/>
      <c r="K20" s="116"/>
      <c r="L20" s="119">
        <f>L50</f>
        <v>1622.5</v>
      </c>
      <c r="M20" s="8"/>
      <c r="T20" s="3" t="s">
        <v>113</v>
      </c>
      <c r="U20" s="16">
        <f>F50</f>
        <v>52500</v>
      </c>
      <c r="W20" s="16"/>
      <c r="AA20" s="1"/>
      <c r="AB20" s="1"/>
      <c r="AC20" s="1"/>
      <c r="AD20" s="1"/>
      <c r="AE20" s="1"/>
    </row>
    <row r="21" spans="1:31" x14ac:dyDescent="0.2">
      <c r="A21" s="1"/>
      <c r="G21" s="1"/>
      <c r="H21" s="114" t="str">
        <f>H55</f>
        <v>Gross Yield</v>
      </c>
      <c r="I21" s="114"/>
      <c r="J21" s="114"/>
      <c r="K21" s="114"/>
      <c r="L21" s="120">
        <f>L55</f>
        <v>0.18</v>
      </c>
      <c r="M21" s="10"/>
      <c r="T21" s="3" t="s">
        <v>116</v>
      </c>
      <c r="U21" s="16">
        <f>SUM(P60:P61)</f>
        <v>-8175</v>
      </c>
      <c r="W21" s="16"/>
      <c r="AA21" s="1"/>
      <c r="AB21" s="1"/>
      <c r="AC21" s="1"/>
      <c r="AD21" s="1"/>
      <c r="AE21" s="1"/>
    </row>
    <row r="22" spans="1:31" x14ac:dyDescent="0.2">
      <c r="A22" s="1"/>
      <c r="C22" s="34" t="str">
        <f t="shared" ref="C22:C30" si="0">RIGHT(B39,LEN(B39)-5)</f>
        <v>Property/Land Tax</v>
      </c>
      <c r="D22" s="35">
        <f t="shared" ref="D22:D30" si="1">F39</f>
        <v>0</v>
      </c>
      <c r="G22" s="1"/>
      <c r="H22" s="116" t="str">
        <f>H56</f>
        <v>Average rental cashflow post debt (Refinanced)</v>
      </c>
      <c r="I22" s="116"/>
      <c r="J22" s="116"/>
      <c r="K22" s="116"/>
      <c r="L22" s="119">
        <f>L56</f>
        <v>817.26756548179139</v>
      </c>
      <c r="M22" s="8"/>
      <c r="T22" s="16" t="str">
        <f>N43</f>
        <v>Refurbishment costs</v>
      </c>
      <c r="U22" s="16">
        <f>P43</f>
        <v>-50000.000000000007</v>
      </c>
      <c r="W22" s="16"/>
      <c r="AC22" s="1"/>
      <c r="AD22" s="1"/>
      <c r="AE22" s="1"/>
    </row>
    <row r="23" spans="1:31" x14ac:dyDescent="0.2">
      <c r="A23" s="1"/>
      <c r="C23" s="34" t="str">
        <f t="shared" si="0"/>
        <v>Legal &amp; Search Fees</v>
      </c>
      <c r="D23" s="35">
        <f t="shared" si="1"/>
        <v>300</v>
      </c>
      <c r="G23" s="1"/>
      <c r="H23" s="121" t="str">
        <f>H57</f>
        <v>Net Yield</v>
      </c>
      <c r="I23" s="116"/>
      <c r="J23" s="116"/>
      <c r="K23" s="116"/>
      <c r="L23" s="122">
        <f>L57</f>
        <v>4.9036053928907489E-2</v>
      </c>
      <c r="M23" s="8"/>
      <c r="T23" s="16" t="s">
        <v>115</v>
      </c>
      <c r="U23" s="16">
        <f>F67</f>
        <v>25000</v>
      </c>
      <c r="W23" s="16"/>
      <c r="AC23" s="1"/>
      <c r="AD23" s="1"/>
      <c r="AE23" s="1"/>
    </row>
    <row r="24" spans="1:31" x14ac:dyDescent="0.2">
      <c r="A24" s="1"/>
      <c r="C24" s="34" t="str">
        <f t="shared" si="0"/>
        <v>Accountancy / set up Fees</v>
      </c>
      <c r="D24" s="35">
        <f t="shared" si="1"/>
        <v>100</v>
      </c>
      <c r="G24" s="1"/>
      <c r="L24" s="22"/>
      <c r="M24" s="10"/>
      <c r="T24" s="3" t="str">
        <f>T21</f>
        <v>Lender fees &amp; Interest</v>
      </c>
      <c r="U24" s="16">
        <f>SUM(P64:P65)</f>
        <v>-1750</v>
      </c>
      <c r="V24" s="1"/>
      <c r="W24" s="16"/>
      <c r="AC24" s="1"/>
      <c r="AD24" s="1"/>
      <c r="AE24" s="1"/>
    </row>
    <row r="25" spans="1:31" x14ac:dyDescent="0.2">
      <c r="A25" s="1"/>
      <c r="C25" s="34" t="str">
        <f t="shared" si="0"/>
        <v>Broker Fees</v>
      </c>
      <c r="D25" s="35">
        <f t="shared" si="1"/>
        <v>700</v>
      </c>
      <c r="G25" s="1"/>
      <c r="H25" s="3" t="s">
        <v>49</v>
      </c>
      <c r="I25" s="1"/>
      <c r="J25" s="1"/>
      <c r="K25" s="1"/>
      <c r="L25" s="2"/>
      <c r="M25" s="10"/>
      <c r="T25" s="16" t="str">
        <f>N46</f>
        <v>Rent</v>
      </c>
      <c r="U25" s="16">
        <f>P46</f>
        <v>15000</v>
      </c>
      <c r="V25" s="1"/>
      <c r="W25" s="16"/>
      <c r="AC25" s="1"/>
      <c r="AD25" s="1"/>
      <c r="AE25" s="1"/>
    </row>
    <row r="26" spans="1:31" x14ac:dyDescent="0.2">
      <c r="A26" s="1"/>
      <c r="C26" s="34" t="str">
        <f t="shared" si="0"/>
        <v>Sourcing Fees</v>
      </c>
      <c r="D26" s="35">
        <f t="shared" si="1"/>
        <v>700</v>
      </c>
      <c r="G26" s="1"/>
      <c r="H26" s="114" t="s">
        <v>104</v>
      </c>
      <c r="I26" s="114"/>
      <c r="J26" s="114"/>
      <c r="K26" s="114"/>
      <c r="L26" s="115">
        <f>L62-L63-F67-F50</f>
        <v>71000</v>
      </c>
      <c r="M26" s="10"/>
      <c r="T26" s="3" t="s">
        <v>120</v>
      </c>
      <c r="U26" s="16">
        <f>SUM(P47:P55)</f>
        <v>-12487.5</v>
      </c>
      <c r="V26" s="1"/>
      <c r="W26" s="16"/>
      <c r="AC26" s="1"/>
      <c r="AD26" s="1"/>
      <c r="AE26" s="1"/>
    </row>
    <row r="27" spans="1:31" x14ac:dyDescent="0.2">
      <c r="A27" s="1"/>
      <c r="C27" s="34" t="str">
        <f t="shared" si="0"/>
        <v>Appraisal/Survey Fees</v>
      </c>
      <c r="D27" s="35">
        <f t="shared" si="1"/>
        <v>700</v>
      </c>
      <c r="G27" s="1"/>
      <c r="H27" s="116" t="s">
        <v>30</v>
      </c>
      <c r="I27" s="117"/>
      <c r="J27" s="117"/>
      <c r="K27" s="117"/>
      <c r="L27" s="118">
        <f>IFERROR(L26/L14-1,0)</f>
        <v>0.22282023681377816</v>
      </c>
      <c r="M27" s="10"/>
      <c r="T27" s="3" t="s">
        <v>117</v>
      </c>
      <c r="U27" s="16">
        <f>P67</f>
        <v>150000</v>
      </c>
      <c r="V27" s="1"/>
      <c r="W27" s="16"/>
      <c r="AC27" s="1"/>
      <c r="AD27" s="1"/>
      <c r="AE27" s="1"/>
    </row>
    <row r="28" spans="1:31" x14ac:dyDescent="0.2">
      <c r="A28" s="1"/>
      <c r="C28" s="34" t="str">
        <f t="shared" si="0"/>
        <v>Other</v>
      </c>
      <c r="D28" s="35">
        <f t="shared" si="1"/>
        <v>0</v>
      </c>
      <c r="G28" s="1"/>
      <c r="H28" s="116" t="s">
        <v>105</v>
      </c>
      <c r="I28" s="117"/>
      <c r="J28" s="117"/>
      <c r="K28" s="117"/>
      <c r="L28" s="119">
        <f>L26-L14</f>
        <v>12937.499999999993</v>
      </c>
      <c r="M28" s="10"/>
      <c r="T28" s="16" t="s">
        <v>118</v>
      </c>
      <c r="U28" s="16">
        <f>SUM(P68:P69)</f>
        <v>-1500</v>
      </c>
      <c r="V28" s="1"/>
      <c r="W28" s="16"/>
      <c r="AC28" s="1"/>
      <c r="AD28" s="1"/>
      <c r="AE28" s="1"/>
    </row>
    <row r="29" spans="1:31" x14ac:dyDescent="0.2">
      <c r="A29" s="1"/>
      <c r="C29" s="34" t="str">
        <f t="shared" si="0"/>
        <v xml:space="preserve"> Other</v>
      </c>
      <c r="D29" s="35">
        <f t="shared" si="1"/>
        <v>0</v>
      </c>
      <c r="G29" s="1"/>
      <c r="H29" s="17"/>
      <c r="I29" s="1"/>
      <c r="J29" s="1"/>
      <c r="K29" s="1"/>
      <c r="L29" s="2"/>
      <c r="M29" s="10"/>
      <c r="T29" s="16" t="s">
        <v>17</v>
      </c>
      <c r="U29" s="16">
        <f>SUM(P62,P66)</f>
        <v>-77500</v>
      </c>
      <c r="V29" s="1"/>
      <c r="W29" s="16"/>
      <c r="AC29" s="1"/>
      <c r="AD29" s="1"/>
      <c r="AE29" s="1"/>
    </row>
    <row r="30" spans="1:31" x14ac:dyDescent="0.2">
      <c r="A30" s="1"/>
      <c r="C30" s="34" t="str">
        <f t="shared" si="0"/>
        <v xml:space="preserve"> Other</v>
      </c>
      <c r="D30" s="35">
        <f t="shared" si="1"/>
        <v>0</v>
      </c>
      <c r="G30" s="1"/>
      <c r="H30" s="3" t="s">
        <v>109</v>
      </c>
      <c r="I30" s="1"/>
      <c r="J30" s="1"/>
      <c r="K30" s="1"/>
      <c r="L30" s="2"/>
      <c r="M30" s="10"/>
      <c r="T30" s="16" t="s">
        <v>119</v>
      </c>
      <c r="U30" s="16">
        <f>SUM(U17:U29)</f>
        <v>18587.5</v>
      </c>
      <c r="V30" s="1"/>
      <c r="W30" s="16"/>
      <c r="AC30" s="1"/>
      <c r="AD30" s="1"/>
      <c r="AE30" s="1"/>
    </row>
    <row r="31" spans="1:31" x14ac:dyDescent="0.2">
      <c r="A31" s="1"/>
      <c r="C31" s="34" t="s">
        <v>128</v>
      </c>
      <c r="D31" s="35">
        <f>SUM(F53:F57)</f>
        <v>4500</v>
      </c>
      <c r="G31" s="1"/>
      <c r="H31" s="116" t="s">
        <v>106</v>
      </c>
      <c r="I31" s="116"/>
      <c r="J31" s="116"/>
      <c r="K31" s="116"/>
      <c r="L31" s="115">
        <f>SUM($E$108:$BM$108)</f>
        <v>170634.64141287067</v>
      </c>
      <c r="M31" s="10"/>
      <c r="T31" s="16"/>
      <c r="U31" s="16"/>
      <c r="V31" s="1"/>
      <c r="W31" s="16"/>
      <c r="AC31" s="1"/>
      <c r="AD31" s="1"/>
      <c r="AE31" s="1"/>
    </row>
    <row r="32" spans="1:31" x14ac:dyDescent="0.2">
      <c r="A32" s="1"/>
      <c r="G32" s="1"/>
      <c r="H32" s="116" t="s">
        <v>30</v>
      </c>
      <c r="I32" s="117"/>
      <c r="J32" s="117"/>
      <c r="K32" s="117"/>
      <c r="L32" s="123">
        <f>IFERROR(L31/L14,0)</f>
        <v>2.9388097552270511</v>
      </c>
      <c r="M32" s="10"/>
      <c r="U32" s="16"/>
      <c r="V32" s="1"/>
      <c r="W32" s="16"/>
      <c r="AC32" s="1"/>
      <c r="AD32" s="1"/>
      <c r="AE32" s="1"/>
    </row>
    <row r="33" spans="1:31" x14ac:dyDescent="0.2">
      <c r="A33" s="1"/>
      <c r="G33" s="1"/>
      <c r="M33" s="10"/>
      <c r="U33" s="16"/>
      <c r="V33" s="1"/>
      <c r="W33" s="16"/>
      <c r="AC33" s="1"/>
      <c r="AD33" s="1"/>
      <c r="AE33" s="1"/>
    </row>
    <row r="34" spans="1:31" x14ac:dyDescent="0.2">
      <c r="A34" s="1"/>
      <c r="G34" s="10"/>
      <c r="H34" s="16"/>
      <c r="I34" s="16"/>
      <c r="J34" s="16"/>
      <c r="K34" s="16"/>
      <c r="M34" s="16"/>
      <c r="N34" s="16"/>
      <c r="O34" s="16"/>
      <c r="P34" s="1"/>
      <c r="Q34" s="16"/>
      <c r="AC34" s="1"/>
      <c r="AD34" s="1"/>
      <c r="AE34" s="1"/>
    </row>
    <row r="35" spans="1:31" x14ac:dyDescent="0.2">
      <c r="A35" s="1"/>
      <c r="B35" s="3" t="s">
        <v>46</v>
      </c>
      <c r="G35" s="10"/>
      <c r="H35" s="3" t="s">
        <v>48</v>
      </c>
      <c r="M35" s="16"/>
      <c r="N35" s="16"/>
      <c r="O35" s="16"/>
      <c r="P35" s="1"/>
      <c r="Q35" s="16"/>
      <c r="AC35" s="1"/>
      <c r="AD35" s="1"/>
      <c r="AE35" s="1"/>
    </row>
    <row r="36" spans="1:31" ht="23" x14ac:dyDescent="0.2">
      <c r="A36" s="1"/>
      <c r="B36" s="4" t="s">
        <v>52</v>
      </c>
      <c r="C36" s="4"/>
      <c r="D36" s="4"/>
      <c r="E36" s="24" t="s">
        <v>36</v>
      </c>
      <c r="F36" s="25" t="str">
        <f>"Amount ("&amp;F15&amp;")"</f>
        <v>Amount ($)</v>
      </c>
      <c r="G36" s="10"/>
      <c r="H36" s="50" t="s">
        <v>57</v>
      </c>
      <c r="I36" s="51"/>
      <c r="J36" s="52"/>
      <c r="K36" s="31" t="str">
        <f>F15&amp;" Per month/
% of Rent"</f>
        <v>$ Per month/
% of Rent</v>
      </c>
      <c r="L36" s="25" t="str">
        <f>F15&amp;" Per annum"</f>
        <v>$ Per annum</v>
      </c>
      <c r="M36" s="16"/>
      <c r="N36" s="16"/>
      <c r="O36" s="16"/>
      <c r="P36" s="1"/>
      <c r="Q36" s="16"/>
      <c r="AC36" s="1"/>
      <c r="AD36" s="1"/>
      <c r="AE36" s="1"/>
    </row>
    <row r="37" spans="1:31" x14ac:dyDescent="0.2">
      <c r="A37" s="1"/>
      <c r="B37" s="20" t="s">
        <v>37</v>
      </c>
      <c r="C37" s="20"/>
      <c r="D37" s="20"/>
      <c r="E37" s="21"/>
      <c r="F37" s="77">
        <v>70000</v>
      </c>
      <c r="G37" s="8"/>
      <c r="H37" s="7" t="s">
        <v>96</v>
      </c>
      <c r="I37" s="7"/>
      <c r="J37" s="7"/>
      <c r="K37" s="23"/>
      <c r="L37" s="99">
        <v>8</v>
      </c>
      <c r="M37" s="16"/>
      <c r="N37" s="16"/>
      <c r="O37" s="16"/>
      <c r="P37" s="1"/>
      <c r="Q37" s="16"/>
      <c r="AC37" s="1"/>
      <c r="AD37" s="1"/>
      <c r="AE37" s="1"/>
    </row>
    <row r="38" spans="1:31" x14ac:dyDescent="0.2">
      <c r="A38" s="1"/>
      <c r="B38" s="20" t="s">
        <v>1</v>
      </c>
      <c r="C38" s="20"/>
      <c r="D38" s="5"/>
      <c r="E38" s="78">
        <v>0.25</v>
      </c>
      <c r="F38" s="28">
        <f>F$37*E38</f>
        <v>17500</v>
      </c>
      <c r="H38" s="20" t="s">
        <v>58</v>
      </c>
      <c r="I38" s="20"/>
      <c r="J38" s="5"/>
      <c r="K38" s="77">
        <v>3000</v>
      </c>
      <c r="L38" s="28">
        <f>K38*12</f>
        <v>36000</v>
      </c>
      <c r="M38" s="16"/>
      <c r="N38" s="17" t="s">
        <v>107</v>
      </c>
      <c r="O38" s="39"/>
      <c r="P38" s="39"/>
      <c r="Q38" s="39"/>
      <c r="R38" s="39"/>
      <c r="S38" s="39"/>
      <c r="T38" s="8"/>
      <c r="U38" s="8"/>
      <c r="AC38" s="1"/>
      <c r="AD38" s="1"/>
      <c r="AE38" s="1"/>
    </row>
    <row r="39" spans="1:31" x14ac:dyDescent="0.2">
      <c r="A39" s="1"/>
      <c r="B39" s="7" t="s">
        <v>35</v>
      </c>
      <c r="C39" s="7"/>
      <c r="D39" s="6"/>
      <c r="E39" s="27">
        <f>IFERROR(F39/$F$37,0)</f>
        <v>0</v>
      </c>
      <c r="F39" s="77">
        <v>0</v>
      </c>
      <c r="H39" s="7" t="s">
        <v>59</v>
      </c>
      <c r="I39" s="7"/>
      <c r="J39" s="6"/>
      <c r="K39" s="79">
        <v>0.05</v>
      </c>
      <c r="L39" s="28">
        <f>K39*L38</f>
        <v>1800</v>
      </c>
      <c r="M39" s="16"/>
      <c r="N39" s="84" t="s">
        <v>28</v>
      </c>
      <c r="O39" s="84"/>
      <c r="P39" s="107">
        <v>1</v>
      </c>
      <c r="Q39" s="107">
        <f>P39+1</f>
        <v>2</v>
      </c>
      <c r="R39" s="107">
        <f>Q39+1</f>
        <v>3</v>
      </c>
      <c r="S39" s="107">
        <f>R39+1</f>
        <v>4</v>
      </c>
      <c r="T39" s="107">
        <v>5</v>
      </c>
      <c r="U39" s="108" t="s">
        <v>41</v>
      </c>
      <c r="AC39" s="1"/>
      <c r="AD39" s="1"/>
      <c r="AE39" s="1"/>
    </row>
    <row r="40" spans="1:31" x14ac:dyDescent="0.2">
      <c r="A40" s="1"/>
      <c r="B40" s="7" t="s">
        <v>2</v>
      </c>
      <c r="C40" s="7"/>
      <c r="D40" s="6"/>
      <c r="E40" s="27">
        <f>IFERROR(F40/$F$37,0)</f>
        <v>4.2857142857142859E-3</v>
      </c>
      <c r="F40" s="77">
        <v>300</v>
      </c>
      <c r="H40" s="7" t="s">
        <v>140</v>
      </c>
      <c r="I40" s="7"/>
      <c r="J40" s="6"/>
      <c r="K40" s="79">
        <v>0.15</v>
      </c>
      <c r="L40" s="28">
        <f>K40*(L38-L39)</f>
        <v>5130</v>
      </c>
      <c r="M40" s="16"/>
      <c r="N40" s="7" t="s">
        <v>4</v>
      </c>
      <c r="O40" s="7"/>
      <c r="P40" s="40" t="str">
        <f>TEXT(YEAR($F$16),0)&amp;"/"&amp;TEXT(YEAR($F$16)+1,0)</f>
        <v>2023/2024</v>
      </c>
      <c r="Q40" s="40" t="str">
        <f>TEXT(YEAR($F$16)+2,0)&amp;"/"&amp;TEXT(YEAR($F$16)+3,0)</f>
        <v>2025/2026</v>
      </c>
      <c r="R40" s="40" t="str">
        <f>TEXT(YEAR($F$16)+3,0)&amp;"/"&amp;TEXT(YEAR($F$16)+4,0)</f>
        <v>2026/2027</v>
      </c>
      <c r="S40" s="40" t="str">
        <f>TEXT(YEAR($F$16)+4,0)&amp;"/"&amp;TEXT(YEAR($F$16)+5,0)</f>
        <v>2027/2028</v>
      </c>
      <c r="T40" s="40" t="str">
        <f>TEXT(YEAR($F$16)+5,0)&amp;"/"&amp;TEXT(YEAR($F$16)+6,0)</f>
        <v>2028/2029</v>
      </c>
      <c r="U40" s="109"/>
      <c r="AC40" s="1"/>
      <c r="AD40" s="1"/>
      <c r="AE40" s="1"/>
    </row>
    <row r="41" spans="1:31" x14ac:dyDescent="0.2">
      <c r="A41" s="1"/>
      <c r="B41" s="7" t="s">
        <v>3</v>
      </c>
      <c r="C41" s="7"/>
      <c r="D41" s="6"/>
      <c r="E41" s="27">
        <f>IFERROR(F41/$F$37,0)</f>
        <v>1.4285714285714286E-3</v>
      </c>
      <c r="F41" s="77">
        <v>100</v>
      </c>
      <c r="H41" s="7" t="s">
        <v>60</v>
      </c>
      <c r="I41" s="7"/>
      <c r="J41" s="6"/>
      <c r="K41" s="77">
        <v>400</v>
      </c>
      <c r="L41" s="28">
        <f t="shared" ref="L41:L47" si="2">K41*12</f>
        <v>4800</v>
      </c>
      <c r="M41" s="16"/>
      <c r="N41" s="12" t="s">
        <v>7</v>
      </c>
      <c r="P41" s="41">
        <f t="shared" ref="P41:T50" si="3">SUMIF($E$75:$BM$75,P$39,$E78:$XEW78)</f>
        <v>-70000</v>
      </c>
      <c r="Q41" s="41">
        <f t="shared" si="3"/>
        <v>0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85">
        <f t="shared" ref="U41:U57" si="4">SUM(P41:T41)</f>
        <v>-70000</v>
      </c>
      <c r="AC41" s="1"/>
      <c r="AD41" s="1"/>
      <c r="AE41" s="1"/>
    </row>
    <row r="42" spans="1:31" x14ac:dyDescent="0.2">
      <c r="A42" s="1"/>
      <c r="B42" s="7" t="s">
        <v>5</v>
      </c>
      <c r="C42" s="7"/>
      <c r="D42" s="6"/>
      <c r="E42" s="79">
        <v>0.01</v>
      </c>
      <c r="F42" s="28">
        <f>F$37*E42</f>
        <v>700</v>
      </c>
      <c r="H42" s="7" t="s">
        <v>61</v>
      </c>
      <c r="I42" s="7"/>
      <c r="J42" s="6"/>
      <c r="K42" s="77">
        <v>100</v>
      </c>
      <c r="L42" s="28">
        <f t="shared" si="2"/>
        <v>1200</v>
      </c>
      <c r="N42" s="12" t="s">
        <v>34</v>
      </c>
      <c r="P42" s="41">
        <f t="shared" si="3"/>
        <v>0</v>
      </c>
      <c r="Q42" s="41">
        <f t="shared" si="3"/>
        <v>0</v>
      </c>
      <c r="R42" s="41">
        <f t="shared" si="3"/>
        <v>0</v>
      </c>
      <c r="S42" s="41">
        <f t="shared" si="3"/>
        <v>0</v>
      </c>
      <c r="T42" s="41">
        <f t="shared" si="3"/>
        <v>0</v>
      </c>
      <c r="U42" s="85">
        <f t="shared" si="4"/>
        <v>0</v>
      </c>
      <c r="AC42" s="1"/>
      <c r="AD42" s="1"/>
      <c r="AE42" s="1"/>
    </row>
    <row r="43" spans="1:31" x14ac:dyDescent="0.2">
      <c r="A43" s="1"/>
      <c r="B43" s="7" t="s">
        <v>6</v>
      </c>
      <c r="C43" s="7"/>
      <c r="D43" s="6"/>
      <c r="E43" s="79">
        <v>0.01</v>
      </c>
      <c r="F43" s="28">
        <f>F$37*E43</f>
        <v>700</v>
      </c>
      <c r="H43" s="7" t="s">
        <v>62</v>
      </c>
      <c r="I43" s="7"/>
      <c r="J43" s="6"/>
      <c r="K43" s="77">
        <v>150</v>
      </c>
      <c r="L43" s="28">
        <f t="shared" si="2"/>
        <v>1800</v>
      </c>
      <c r="N43" s="12" t="s">
        <v>26</v>
      </c>
      <c r="P43" s="41">
        <f t="shared" si="3"/>
        <v>-50000.000000000007</v>
      </c>
      <c r="Q43" s="41">
        <f t="shared" si="3"/>
        <v>0</v>
      </c>
      <c r="R43" s="41">
        <f t="shared" si="3"/>
        <v>0</v>
      </c>
      <c r="S43" s="41">
        <f t="shared" si="3"/>
        <v>0</v>
      </c>
      <c r="T43" s="41">
        <f t="shared" si="3"/>
        <v>0</v>
      </c>
      <c r="U43" s="85">
        <f t="shared" si="4"/>
        <v>-50000.000000000007</v>
      </c>
      <c r="AC43" s="1"/>
      <c r="AD43" s="1"/>
      <c r="AE43" s="1"/>
    </row>
    <row r="44" spans="1:31" x14ac:dyDescent="0.2">
      <c r="A44" s="1"/>
      <c r="B44" s="7" t="s">
        <v>33</v>
      </c>
      <c r="C44" s="7"/>
      <c r="D44" s="6"/>
      <c r="E44" s="79">
        <v>0.01</v>
      </c>
      <c r="F44" s="28">
        <f>F$37*E44</f>
        <v>700</v>
      </c>
      <c r="H44" s="7" t="s">
        <v>63</v>
      </c>
      <c r="I44" s="7"/>
      <c r="J44" s="6"/>
      <c r="K44" s="77">
        <v>150</v>
      </c>
      <c r="L44" s="28">
        <f t="shared" si="2"/>
        <v>1800</v>
      </c>
      <c r="N44" s="12" t="s">
        <v>29</v>
      </c>
      <c r="P44" s="41">
        <f t="shared" si="3"/>
        <v>-2500</v>
      </c>
      <c r="Q44" s="41">
        <f t="shared" si="3"/>
        <v>0</v>
      </c>
      <c r="R44" s="41">
        <f t="shared" si="3"/>
        <v>0</v>
      </c>
      <c r="S44" s="41">
        <f t="shared" si="3"/>
        <v>0</v>
      </c>
      <c r="T44" s="41">
        <f t="shared" si="3"/>
        <v>0</v>
      </c>
      <c r="U44" s="85">
        <f t="shared" si="4"/>
        <v>-2500</v>
      </c>
      <c r="AC44" s="1"/>
      <c r="AD44" s="1"/>
      <c r="AE44" s="1"/>
    </row>
    <row r="45" spans="1:31" x14ac:dyDescent="0.2">
      <c r="A45" s="1"/>
      <c r="B45" s="80" t="s">
        <v>27</v>
      </c>
      <c r="C45" s="80"/>
      <c r="D45" s="81"/>
      <c r="E45" s="27">
        <f>IFERROR(F45/$F$37,0)</f>
        <v>0</v>
      </c>
      <c r="F45" s="77">
        <v>0</v>
      </c>
      <c r="H45" s="80" t="s">
        <v>64</v>
      </c>
      <c r="I45" s="80"/>
      <c r="J45" s="81"/>
      <c r="K45" s="77">
        <v>0</v>
      </c>
      <c r="L45" s="28">
        <f t="shared" si="2"/>
        <v>0</v>
      </c>
      <c r="N45" s="12" t="s">
        <v>21</v>
      </c>
      <c r="P45" s="41">
        <f t="shared" si="3"/>
        <v>0</v>
      </c>
      <c r="Q45" s="41">
        <f t="shared" si="3"/>
        <v>0</v>
      </c>
      <c r="R45" s="41">
        <f t="shared" si="3"/>
        <v>0</v>
      </c>
      <c r="S45" s="41">
        <f t="shared" si="3"/>
        <v>0</v>
      </c>
      <c r="T45" s="41">
        <f t="shared" si="3"/>
        <v>0</v>
      </c>
      <c r="U45" s="85">
        <f t="shared" si="4"/>
        <v>0</v>
      </c>
    </row>
    <row r="46" spans="1:31" x14ac:dyDescent="0.2">
      <c r="A46" s="1"/>
      <c r="B46" s="80" t="s">
        <v>24</v>
      </c>
      <c r="C46" s="80"/>
      <c r="D46" s="81"/>
      <c r="E46" s="27">
        <f>IFERROR(F46/$F$37,0)</f>
        <v>0</v>
      </c>
      <c r="F46" s="77">
        <v>0</v>
      </c>
      <c r="H46" s="80" t="s">
        <v>65</v>
      </c>
      <c r="I46" s="80"/>
      <c r="J46" s="81"/>
      <c r="K46" s="77">
        <v>0</v>
      </c>
      <c r="L46" s="28">
        <f t="shared" si="2"/>
        <v>0</v>
      </c>
      <c r="N46" s="12" t="s">
        <v>8</v>
      </c>
      <c r="P46" s="41">
        <f t="shared" si="3"/>
        <v>15000</v>
      </c>
      <c r="Q46" s="41">
        <f t="shared" si="3"/>
        <v>37080</v>
      </c>
      <c r="R46" s="41">
        <f t="shared" si="3"/>
        <v>38192.400000000001</v>
      </c>
      <c r="S46" s="41">
        <f t="shared" si="3"/>
        <v>39338.171999999991</v>
      </c>
      <c r="T46" s="41">
        <f t="shared" si="3"/>
        <v>40518.317159999984</v>
      </c>
      <c r="U46" s="85">
        <f t="shared" si="4"/>
        <v>170128.88915999996</v>
      </c>
    </row>
    <row r="47" spans="1:31" x14ac:dyDescent="0.2">
      <c r="A47" s="1"/>
      <c r="B47" s="80" t="s">
        <v>25</v>
      </c>
      <c r="C47" s="80"/>
      <c r="D47" s="81"/>
      <c r="E47" s="27">
        <f>IFERROR(F47/$F$37,0)</f>
        <v>0</v>
      </c>
      <c r="F47" s="77">
        <v>0</v>
      </c>
      <c r="H47" s="80" t="s">
        <v>66</v>
      </c>
      <c r="I47" s="80"/>
      <c r="J47" s="81"/>
      <c r="K47" s="77">
        <v>0</v>
      </c>
      <c r="L47" s="28">
        <f t="shared" si="2"/>
        <v>0</v>
      </c>
      <c r="N47" s="12" t="s">
        <v>9</v>
      </c>
      <c r="P47" s="41">
        <f t="shared" si="3"/>
        <v>-750</v>
      </c>
      <c r="Q47" s="41">
        <f t="shared" si="3"/>
        <v>-1854</v>
      </c>
      <c r="R47" s="41">
        <f t="shared" si="3"/>
        <v>-1909.62</v>
      </c>
      <c r="S47" s="41">
        <f t="shared" si="3"/>
        <v>-1966.9086</v>
      </c>
      <c r="T47" s="41">
        <f t="shared" si="3"/>
        <v>-2025.9158579999996</v>
      </c>
      <c r="U47" s="85">
        <f t="shared" si="4"/>
        <v>-8506.4444579999999</v>
      </c>
    </row>
    <row r="48" spans="1:31" x14ac:dyDescent="0.2">
      <c r="A48" s="1"/>
      <c r="B48" s="1"/>
      <c r="C48" s="1"/>
      <c r="D48" s="1"/>
      <c r="E48" s="1"/>
      <c r="F48" s="1"/>
      <c r="H48" s="20" t="s">
        <v>67</v>
      </c>
      <c r="I48" s="20"/>
      <c r="J48" s="20"/>
      <c r="K48" s="5"/>
      <c r="L48" s="100">
        <v>0.03</v>
      </c>
      <c r="N48" s="12" t="s">
        <v>141</v>
      </c>
      <c r="P48" s="41">
        <f t="shared" si="3"/>
        <v>-2137.5</v>
      </c>
      <c r="Q48" s="41">
        <f t="shared" si="3"/>
        <v>-5283.8999999999987</v>
      </c>
      <c r="R48" s="41">
        <f t="shared" si="3"/>
        <v>-5442.4169999999986</v>
      </c>
      <c r="S48" s="41">
        <f t="shared" si="3"/>
        <v>-5605.6895100000002</v>
      </c>
      <c r="T48" s="41">
        <f t="shared" si="3"/>
        <v>-5773.8601952999988</v>
      </c>
      <c r="U48" s="85">
        <f t="shared" si="4"/>
        <v>-24243.366705299999</v>
      </c>
    </row>
    <row r="49" spans="1:21" x14ac:dyDescent="0.2">
      <c r="A49" s="1"/>
      <c r="B49" s="4" t="s">
        <v>54</v>
      </c>
      <c r="C49" s="4"/>
      <c r="D49" s="4"/>
      <c r="E49" s="24" t="s">
        <v>38</v>
      </c>
      <c r="F49" s="25" t="str">
        <f>"Amount ("&amp;$F$15&amp;")"</f>
        <v>Amount ($)</v>
      </c>
      <c r="H49" s="20" t="s">
        <v>68</v>
      </c>
      <c r="I49" s="37"/>
      <c r="J49" s="37"/>
      <c r="K49" s="38"/>
      <c r="L49" s="100">
        <v>0.03</v>
      </c>
      <c r="N49" s="12" t="s">
        <v>10</v>
      </c>
      <c r="P49" s="41">
        <f t="shared" si="3"/>
        <v>-4800</v>
      </c>
      <c r="Q49" s="41">
        <f t="shared" si="3"/>
        <v>-4944</v>
      </c>
      <c r="R49" s="41">
        <f t="shared" si="3"/>
        <v>-5092.32</v>
      </c>
      <c r="S49" s="41">
        <f t="shared" si="3"/>
        <v>-5245.0896000000002</v>
      </c>
      <c r="T49" s="41">
        <f t="shared" si="3"/>
        <v>-5402.4422879999984</v>
      </c>
      <c r="U49" s="85">
        <f t="shared" si="4"/>
        <v>-25483.851887999997</v>
      </c>
    </row>
    <row r="50" spans="1:21" x14ac:dyDescent="0.2">
      <c r="A50" s="1"/>
      <c r="B50" s="5" t="s">
        <v>43</v>
      </c>
      <c r="C50" s="18"/>
      <c r="D50" s="5"/>
      <c r="E50" s="26">
        <f>1-E38</f>
        <v>0.75</v>
      </c>
      <c r="F50" s="28">
        <f>E50*F37</f>
        <v>52500</v>
      </c>
      <c r="G50" s="16"/>
      <c r="H50" s="84" t="s">
        <v>130</v>
      </c>
      <c r="I50" s="84"/>
      <c r="J50" s="84"/>
      <c r="K50" s="84"/>
      <c r="L50" s="85">
        <f>(L38-SUM(L39:L47))/12</f>
        <v>1622.5</v>
      </c>
      <c r="N50" s="12" t="s">
        <v>11</v>
      </c>
      <c r="P50" s="41">
        <f t="shared" si="3"/>
        <v>-1200</v>
      </c>
      <c r="Q50" s="41">
        <f t="shared" si="3"/>
        <v>-1236</v>
      </c>
      <c r="R50" s="41">
        <f t="shared" si="3"/>
        <v>-1273.08</v>
      </c>
      <c r="S50" s="41">
        <f t="shared" si="3"/>
        <v>-1311.2724000000001</v>
      </c>
      <c r="T50" s="41">
        <f t="shared" si="3"/>
        <v>-1350.6105719999996</v>
      </c>
      <c r="U50" s="85">
        <f t="shared" si="4"/>
        <v>-6370.9629719999994</v>
      </c>
    </row>
    <row r="51" spans="1:21" x14ac:dyDescent="0.2">
      <c r="A51" s="1"/>
      <c r="B51" s="7" t="s">
        <v>84</v>
      </c>
      <c r="C51" s="7"/>
      <c r="D51" s="20"/>
      <c r="E51" s="23"/>
      <c r="F51" s="82">
        <v>12</v>
      </c>
      <c r="N51" s="12" t="s">
        <v>12</v>
      </c>
      <c r="P51" s="41">
        <f t="shared" ref="P51:T57" si="5">SUMIF($E$75:$BM$75,P$39,$E88:$XEW88)</f>
        <v>-1800</v>
      </c>
      <c r="Q51" s="41">
        <f t="shared" si="5"/>
        <v>-1854</v>
      </c>
      <c r="R51" s="41">
        <f t="shared" si="5"/>
        <v>-1909.62</v>
      </c>
      <c r="S51" s="41">
        <f t="shared" si="5"/>
        <v>-1966.9086</v>
      </c>
      <c r="T51" s="41">
        <f t="shared" si="5"/>
        <v>-2025.9158579999996</v>
      </c>
      <c r="U51" s="85">
        <f t="shared" si="4"/>
        <v>-9556.4444579999999</v>
      </c>
    </row>
    <row r="52" spans="1:21" ht="12.5" customHeight="1" x14ac:dyDescent="0.2">
      <c r="A52" s="1"/>
      <c r="B52" s="6" t="s">
        <v>85</v>
      </c>
      <c r="C52" s="19"/>
      <c r="D52" s="6"/>
      <c r="E52" s="83">
        <v>0.06</v>
      </c>
      <c r="F52" s="28">
        <f>E52*F50</f>
        <v>3150</v>
      </c>
      <c r="H52" s="3" t="s">
        <v>49</v>
      </c>
      <c r="N52" s="12" t="s">
        <v>20</v>
      </c>
      <c r="P52" s="41">
        <f t="shared" si="5"/>
        <v>-1800</v>
      </c>
      <c r="Q52" s="41">
        <f t="shared" si="5"/>
        <v>-1854</v>
      </c>
      <c r="R52" s="41">
        <f t="shared" si="5"/>
        <v>-1909.62</v>
      </c>
      <c r="S52" s="41">
        <f t="shared" si="5"/>
        <v>-1966.9086</v>
      </c>
      <c r="T52" s="41">
        <f t="shared" si="5"/>
        <v>-2025.9158579999996</v>
      </c>
      <c r="U52" s="85">
        <f t="shared" si="4"/>
        <v>-9556.4444579999999</v>
      </c>
    </row>
    <row r="53" spans="1:21" x14ac:dyDescent="0.2">
      <c r="A53" s="1"/>
      <c r="B53" s="6" t="s">
        <v>121</v>
      </c>
      <c r="C53" s="19"/>
      <c r="D53" s="6"/>
      <c r="E53" s="83">
        <v>0.02</v>
      </c>
      <c r="F53" s="28">
        <f>E53*F50</f>
        <v>1050</v>
      </c>
      <c r="H53" s="4" t="s">
        <v>69</v>
      </c>
      <c r="I53" s="9"/>
      <c r="J53" s="11"/>
      <c r="K53" s="31"/>
      <c r="L53" s="25" t="str">
        <f>"Amount ("&amp;$F$15&amp;")"</f>
        <v>Amount ($)</v>
      </c>
      <c r="N53" s="12" t="str">
        <f>RIGHT(H45,LEN(H45)-5)</f>
        <v>Other (pcm / p.a.)</v>
      </c>
      <c r="P53" s="41">
        <f t="shared" si="5"/>
        <v>0</v>
      </c>
      <c r="Q53" s="41">
        <f t="shared" si="5"/>
        <v>0</v>
      </c>
      <c r="R53" s="41">
        <f t="shared" si="5"/>
        <v>0</v>
      </c>
      <c r="S53" s="41">
        <f t="shared" si="5"/>
        <v>0</v>
      </c>
      <c r="T53" s="41">
        <f t="shared" si="5"/>
        <v>0</v>
      </c>
      <c r="U53" s="85">
        <f t="shared" si="4"/>
        <v>0</v>
      </c>
    </row>
    <row r="54" spans="1:21" x14ac:dyDescent="0.2">
      <c r="A54" s="1"/>
      <c r="B54" s="6" t="s">
        <v>122</v>
      </c>
      <c r="C54" s="19"/>
      <c r="D54" s="6"/>
      <c r="E54" s="83">
        <v>0.01</v>
      </c>
      <c r="F54" s="28">
        <f>E54*F50</f>
        <v>525</v>
      </c>
      <c r="H54" s="20" t="s">
        <v>73</v>
      </c>
      <c r="I54" s="20"/>
      <c r="J54" s="5"/>
      <c r="K54" s="38"/>
      <c r="L54" s="77">
        <v>200000</v>
      </c>
      <c r="N54" s="12" t="str">
        <f>RIGHT(H46,LEN(H46)-5)</f>
        <v>Other (pcm / p.a.)</v>
      </c>
      <c r="P54" s="41">
        <f t="shared" si="5"/>
        <v>0</v>
      </c>
      <c r="Q54" s="41">
        <f t="shared" si="5"/>
        <v>0</v>
      </c>
      <c r="R54" s="41">
        <f t="shared" si="5"/>
        <v>0</v>
      </c>
      <c r="S54" s="41">
        <f t="shared" si="5"/>
        <v>0</v>
      </c>
      <c r="T54" s="41">
        <f t="shared" si="5"/>
        <v>0</v>
      </c>
      <c r="U54" s="85">
        <f t="shared" si="4"/>
        <v>0</v>
      </c>
    </row>
    <row r="55" spans="1:21" x14ac:dyDescent="0.2">
      <c r="B55" s="6" t="s">
        <v>123</v>
      </c>
      <c r="C55" s="19"/>
      <c r="D55" s="6"/>
      <c r="E55" s="27">
        <f>IFERROR(F55/$F$50,0)</f>
        <v>1.7142857142857144E-2</v>
      </c>
      <c r="F55" s="77">
        <v>900</v>
      </c>
      <c r="H55" s="84" t="s">
        <v>50</v>
      </c>
      <c r="I55" s="84"/>
      <c r="J55" s="84"/>
      <c r="K55" s="84"/>
      <c r="L55" s="101">
        <f>IFERROR(L38/L54,0)</f>
        <v>0.18</v>
      </c>
      <c r="N55" s="12" t="str">
        <f>RIGHT(H47,LEN(H47)-6)</f>
        <v>Other (pcm / p.a.)</v>
      </c>
      <c r="P55" s="41">
        <f t="shared" si="5"/>
        <v>0</v>
      </c>
      <c r="Q55" s="41">
        <f t="shared" si="5"/>
        <v>0</v>
      </c>
      <c r="R55" s="41">
        <f t="shared" si="5"/>
        <v>0</v>
      </c>
      <c r="S55" s="41">
        <f t="shared" si="5"/>
        <v>0</v>
      </c>
      <c r="T55" s="41">
        <f t="shared" si="5"/>
        <v>0</v>
      </c>
      <c r="U55" s="85">
        <f t="shared" si="4"/>
        <v>0</v>
      </c>
    </row>
    <row r="56" spans="1:21" x14ac:dyDescent="0.2">
      <c r="A56" s="1"/>
      <c r="B56" s="6" t="s">
        <v>124</v>
      </c>
      <c r="C56" s="19"/>
      <c r="D56" s="6"/>
      <c r="E56" s="27">
        <f>IFERROR(F56/$F$50,0)</f>
        <v>2.8571428571428571E-2</v>
      </c>
      <c r="F56" s="77">
        <v>1500</v>
      </c>
      <c r="H56" s="84" t="s">
        <v>131</v>
      </c>
      <c r="I56" s="84"/>
      <c r="J56" s="84"/>
      <c r="K56" s="84"/>
      <c r="L56" s="85">
        <f>L50-IF(K60="Interest only",L64,L65)</f>
        <v>817.26756548179139</v>
      </c>
      <c r="N56" s="12" t="s">
        <v>13</v>
      </c>
      <c r="P56" s="41">
        <f t="shared" si="5"/>
        <v>0</v>
      </c>
      <c r="Q56" s="41">
        <f t="shared" si="5"/>
        <v>0</v>
      </c>
      <c r="R56" s="41">
        <f t="shared" si="5"/>
        <v>0</v>
      </c>
      <c r="S56" s="41">
        <f t="shared" si="5"/>
        <v>0</v>
      </c>
      <c r="T56" s="41">
        <f t="shared" si="5"/>
        <v>250000</v>
      </c>
      <c r="U56" s="85">
        <f t="shared" si="4"/>
        <v>250000</v>
      </c>
    </row>
    <row r="57" spans="1:21" x14ac:dyDescent="0.2">
      <c r="A57" s="1"/>
      <c r="B57" s="7" t="s">
        <v>126</v>
      </c>
      <c r="C57" s="20"/>
      <c r="D57" s="6"/>
      <c r="E57" s="27">
        <f>IFERROR(F57/$F$50,0)</f>
        <v>0.01</v>
      </c>
      <c r="F57" s="77">
        <f>500+25</f>
        <v>525</v>
      </c>
      <c r="H57" s="84" t="s">
        <v>51</v>
      </c>
      <c r="I57" s="84"/>
      <c r="J57" s="84"/>
      <c r="K57" s="84"/>
      <c r="L57" s="101">
        <f>IFERROR(L56*12/L54,0)</f>
        <v>4.9036053928907489E-2</v>
      </c>
      <c r="N57" s="12" t="s">
        <v>14</v>
      </c>
      <c r="P57" s="41">
        <f t="shared" si="5"/>
        <v>0</v>
      </c>
      <c r="Q57" s="41">
        <f t="shared" si="5"/>
        <v>0</v>
      </c>
      <c r="R57" s="41">
        <f t="shared" si="5"/>
        <v>0</v>
      </c>
      <c r="S57" s="41">
        <f t="shared" si="5"/>
        <v>0</v>
      </c>
      <c r="T57" s="41">
        <f t="shared" si="5"/>
        <v>-3750</v>
      </c>
      <c r="U57" s="85">
        <f t="shared" si="4"/>
        <v>-3750</v>
      </c>
    </row>
    <row r="58" spans="1:21" x14ac:dyDescent="0.2">
      <c r="A58" s="1"/>
      <c r="B58" s="7" t="s">
        <v>125</v>
      </c>
      <c r="C58" s="20"/>
      <c r="D58" s="6"/>
      <c r="E58" s="83">
        <v>0.01</v>
      </c>
      <c r="F58" s="28">
        <f>E58*F50</f>
        <v>525</v>
      </c>
      <c r="N58" s="13" t="s">
        <v>15</v>
      </c>
      <c r="O58" s="13"/>
      <c r="P58" s="42">
        <f t="shared" ref="P58:U58" si="6">SUM(P41:P57)</f>
        <v>-119987.5</v>
      </c>
      <c r="Q58" s="42">
        <f t="shared" si="6"/>
        <v>20054.100000000002</v>
      </c>
      <c r="R58" s="42">
        <f t="shared" si="6"/>
        <v>20655.723000000005</v>
      </c>
      <c r="S58" s="42">
        <f t="shared" si="6"/>
        <v>21275.39468999999</v>
      </c>
      <c r="T58" s="42">
        <f t="shared" si="6"/>
        <v>268163.65653069998</v>
      </c>
      <c r="U58" s="85">
        <f t="shared" si="6"/>
        <v>210161.37422069997</v>
      </c>
    </row>
    <row r="59" spans="1:21" x14ac:dyDescent="0.2">
      <c r="A59" s="1"/>
      <c r="B59" s="84" t="s">
        <v>53</v>
      </c>
      <c r="C59" s="84"/>
      <c r="D59" s="84"/>
      <c r="E59" s="84"/>
      <c r="F59" s="85">
        <f>SUM(F38:F47,F53:F57)</f>
        <v>24500</v>
      </c>
      <c r="H59" s="4" t="s">
        <v>74</v>
      </c>
      <c r="I59" s="9"/>
      <c r="J59" s="11"/>
      <c r="K59" s="31"/>
      <c r="L59" s="25" t="str">
        <f>"Amount ("&amp;$F$15&amp;")"</f>
        <v>Amount ($)</v>
      </c>
      <c r="N59" s="12" t="str">
        <f t="shared" ref="N59:N70" si="7">B96</f>
        <v>Debt Drawdown -Purchase</v>
      </c>
      <c r="P59" s="41">
        <f t="shared" ref="P59:T70" si="8">SUMIF($E$75:$BM$75,P$39,$E96:$XEW96)</f>
        <v>52500</v>
      </c>
      <c r="Q59" s="41">
        <f t="shared" si="8"/>
        <v>0</v>
      </c>
      <c r="R59" s="41">
        <f t="shared" si="8"/>
        <v>0</v>
      </c>
      <c r="S59" s="41">
        <f t="shared" si="8"/>
        <v>0</v>
      </c>
      <c r="T59" s="41">
        <f t="shared" si="8"/>
        <v>0</v>
      </c>
      <c r="U59" s="85">
        <f t="shared" ref="U59:U70" si="9">SUM(P59:T59)</f>
        <v>52500</v>
      </c>
    </row>
    <row r="60" spans="1:21" x14ac:dyDescent="0.2">
      <c r="A60" s="1"/>
      <c r="H60" s="45" t="s">
        <v>76</v>
      </c>
      <c r="I60" s="44"/>
      <c r="J60" s="45"/>
      <c r="K60" s="102" t="s">
        <v>75</v>
      </c>
      <c r="L60" s="103"/>
      <c r="N60" s="12" t="str">
        <f t="shared" si="7"/>
        <v>Lender Fees</v>
      </c>
      <c r="P60" s="41">
        <f t="shared" si="8"/>
        <v>-5025</v>
      </c>
      <c r="Q60" s="41">
        <f t="shared" si="8"/>
        <v>0</v>
      </c>
      <c r="R60" s="41">
        <f t="shared" si="8"/>
        <v>0</v>
      </c>
      <c r="S60" s="41">
        <f t="shared" si="8"/>
        <v>0</v>
      </c>
      <c r="T60" s="41">
        <f t="shared" si="8"/>
        <v>0</v>
      </c>
      <c r="U60" s="85">
        <f t="shared" si="9"/>
        <v>-5025</v>
      </c>
    </row>
    <row r="61" spans="1:21" x14ac:dyDescent="0.2">
      <c r="A61" s="1"/>
      <c r="B61" s="3" t="s">
        <v>47</v>
      </c>
      <c r="H61" s="45" t="s">
        <v>77</v>
      </c>
      <c r="I61" s="44"/>
      <c r="J61" s="46"/>
      <c r="K61" s="47"/>
      <c r="L61" s="104">
        <v>30</v>
      </c>
      <c r="N61" s="12" t="str">
        <f t="shared" si="7"/>
        <v>Interest</v>
      </c>
      <c r="P61" s="41">
        <f t="shared" si="8"/>
        <v>-3150</v>
      </c>
      <c r="Q61" s="41">
        <f t="shared" si="8"/>
        <v>0</v>
      </c>
      <c r="R61" s="41">
        <f t="shared" si="8"/>
        <v>0</v>
      </c>
      <c r="S61" s="41">
        <f t="shared" si="8"/>
        <v>0</v>
      </c>
      <c r="T61" s="41">
        <f t="shared" si="8"/>
        <v>0</v>
      </c>
      <c r="U61" s="85">
        <f t="shared" si="9"/>
        <v>-3150</v>
      </c>
    </row>
    <row r="62" spans="1:21" x14ac:dyDescent="0.2">
      <c r="A62" s="1"/>
      <c r="B62" s="4" t="s">
        <v>44</v>
      </c>
      <c r="C62" s="10"/>
      <c r="D62" s="10"/>
      <c r="E62" s="24" t="s">
        <v>36</v>
      </c>
      <c r="F62" s="25" t="str">
        <f>"Amount ("&amp;$F$15&amp;")"</f>
        <v>Amount ($)</v>
      </c>
      <c r="H62" s="45" t="s">
        <v>78</v>
      </c>
      <c r="I62" s="44"/>
      <c r="J62" s="45"/>
      <c r="K62" s="79">
        <v>0.75</v>
      </c>
      <c r="L62" s="28">
        <f>K62*L54</f>
        <v>150000</v>
      </c>
      <c r="N62" s="48" t="str">
        <f t="shared" si="7"/>
        <v>Debt Repayment -Purchase</v>
      </c>
      <c r="O62" s="54"/>
      <c r="P62" s="55">
        <f t="shared" si="8"/>
        <v>-52500</v>
      </c>
      <c r="Q62" s="55">
        <f t="shared" si="8"/>
        <v>0</v>
      </c>
      <c r="R62" s="55">
        <f t="shared" si="8"/>
        <v>0</v>
      </c>
      <c r="S62" s="55">
        <f t="shared" si="8"/>
        <v>0</v>
      </c>
      <c r="T62" s="55">
        <f t="shared" si="8"/>
        <v>0</v>
      </c>
      <c r="U62" s="85">
        <f t="shared" si="9"/>
        <v>-52500</v>
      </c>
    </row>
    <row r="63" spans="1:21" x14ac:dyDescent="0.2">
      <c r="A63" s="1"/>
      <c r="B63" s="5" t="s">
        <v>70</v>
      </c>
      <c r="C63" s="18"/>
      <c r="D63" s="5"/>
      <c r="E63" s="26">
        <f>IFERROR(F63/$F$37,0)</f>
        <v>0.7142857142857143</v>
      </c>
      <c r="F63" s="77">
        <v>50000</v>
      </c>
      <c r="H63" s="45" t="s">
        <v>79</v>
      </c>
      <c r="I63" s="43"/>
      <c r="J63" s="43"/>
      <c r="K63" s="83">
        <v>0.01</v>
      </c>
      <c r="L63" s="28">
        <f>K63*L62</f>
        <v>1500</v>
      </c>
      <c r="N63" s="48" t="str">
        <f t="shared" si="7"/>
        <v>Debt Drawdown -Refurbishment</v>
      </c>
      <c r="O63" s="54"/>
      <c r="P63" s="55">
        <f t="shared" si="8"/>
        <v>25000</v>
      </c>
      <c r="Q63" s="55">
        <f t="shared" si="8"/>
        <v>0</v>
      </c>
      <c r="R63" s="55">
        <f t="shared" si="8"/>
        <v>0</v>
      </c>
      <c r="S63" s="55">
        <f t="shared" si="8"/>
        <v>0</v>
      </c>
      <c r="T63" s="55">
        <f t="shared" si="8"/>
        <v>0</v>
      </c>
      <c r="U63" s="85">
        <f t="shared" si="9"/>
        <v>25000</v>
      </c>
    </row>
    <row r="64" spans="1:21" x14ac:dyDescent="0.2">
      <c r="A64" s="1"/>
      <c r="B64" s="7" t="s">
        <v>71</v>
      </c>
      <c r="C64" s="7"/>
      <c r="D64" s="20"/>
      <c r="E64" s="23"/>
      <c r="F64" s="82">
        <v>6</v>
      </c>
      <c r="H64" s="45" t="s">
        <v>90</v>
      </c>
      <c r="I64" s="43"/>
      <c r="J64" s="43"/>
      <c r="K64" s="83">
        <v>0.05</v>
      </c>
      <c r="L64" s="28">
        <f>K64*L62/12</f>
        <v>625</v>
      </c>
      <c r="N64" s="48" t="str">
        <f t="shared" si="7"/>
        <v>Lender Fees</v>
      </c>
      <c r="O64" s="54"/>
      <c r="P64" s="55">
        <f t="shared" si="8"/>
        <v>-250</v>
      </c>
      <c r="Q64" s="55">
        <f t="shared" si="8"/>
        <v>0</v>
      </c>
      <c r="R64" s="55">
        <f t="shared" si="8"/>
        <v>0</v>
      </c>
      <c r="S64" s="55">
        <f t="shared" si="8"/>
        <v>0</v>
      </c>
      <c r="T64" s="55">
        <f t="shared" si="8"/>
        <v>0</v>
      </c>
      <c r="U64" s="85">
        <f t="shared" si="9"/>
        <v>-250</v>
      </c>
    </row>
    <row r="65" spans="1:65" x14ac:dyDescent="0.2">
      <c r="A65" s="1"/>
      <c r="B65" s="1"/>
      <c r="C65" s="1"/>
      <c r="D65" s="1"/>
      <c r="E65" s="9"/>
      <c r="F65" s="9"/>
      <c r="H65" s="45" t="s">
        <v>91</v>
      </c>
      <c r="I65" s="43"/>
      <c r="J65" s="43"/>
      <c r="K65" s="105">
        <v>0.05</v>
      </c>
      <c r="L65" s="28">
        <f>IFERROR(PMT(K65/12,L61*12,-L62),0)</f>
        <v>805.23243451820861</v>
      </c>
      <c r="N65" s="48" t="str">
        <f t="shared" si="7"/>
        <v>Interest</v>
      </c>
      <c r="O65" s="54"/>
      <c r="P65" s="55">
        <f t="shared" si="8"/>
        <v>-1500</v>
      </c>
      <c r="Q65" s="55">
        <f t="shared" si="8"/>
        <v>0</v>
      </c>
      <c r="R65" s="55">
        <f t="shared" si="8"/>
        <v>0</v>
      </c>
      <c r="S65" s="55">
        <f t="shared" si="8"/>
        <v>0</v>
      </c>
      <c r="T65" s="55">
        <f t="shared" si="8"/>
        <v>0</v>
      </c>
      <c r="U65" s="85">
        <f t="shared" si="9"/>
        <v>-1500</v>
      </c>
    </row>
    <row r="66" spans="1:65" x14ac:dyDescent="0.2">
      <c r="B66" s="4" t="s">
        <v>45</v>
      </c>
      <c r="C66" s="4"/>
      <c r="D66" s="4"/>
      <c r="E66" s="24" t="s">
        <v>56</v>
      </c>
      <c r="F66" s="25" t="str">
        <f>"Amount ("&amp;$F$15&amp;")"</f>
        <v>Amount ($)</v>
      </c>
      <c r="H66" s="84" t="str">
        <f>H26</f>
        <v>Payout at refinancing after lender fees</v>
      </c>
      <c r="I66" s="84"/>
      <c r="J66" s="84"/>
      <c r="K66" s="84"/>
      <c r="L66" s="85">
        <f>L26</f>
        <v>71000</v>
      </c>
      <c r="N66" s="48" t="str">
        <f t="shared" si="7"/>
        <v>Debt Repayment-Refurbishment</v>
      </c>
      <c r="O66" s="54"/>
      <c r="P66" s="55">
        <f t="shared" si="8"/>
        <v>-25000</v>
      </c>
      <c r="Q66" s="55">
        <f t="shared" si="8"/>
        <v>0</v>
      </c>
      <c r="R66" s="55">
        <f t="shared" si="8"/>
        <v>0</v>
      </c>
      <c r="S66" s="55">
        <f t="shared" si="8"/>
        <v>0</v>
      </c>
      <c r="T66" s="55">
        <f t="shared" si="8"/>
        <v>0</v>
      </c>
      <c r="U66" s="85">
        <f t="shared" si="9"/>
        <v>-25000</v>
      </c>
    </row>
    <row r="67" spans="1:65" x14ac:dyDescent="0.2">
      <c r="A67" s="1"/>
      <c r="B67" s="5" t="s">
        <v>72</v>
      </c>
      <c r="C67" s="18"/>
      <c r="D67" s="5"/>
      <c r="E67" s="78">
        <v>0.5</v>
      </c>
      <c r="F67" s="28">
        <f>E67*F63</f>
        <v>25000</v>
      </c>
      <c r="N67" s="12" t="str">
        <f t="shared" si="7"/>
        <v>Debt Drawdown -Refinancing</v>
      </c>
      <c r="P67" s="41">
        <f t="shared" si="8"/>
        <v>150000</v>
      </c>
      <c r="Q67" s="41">
        <f t="shared" si="8"/>
        <v>0</v>
      </c>
      <c r="R67" s="41">
        <f t="shared" si="8"/>
        <v>0</v>
      </c>
      <c r="S67" s="41">
        <f t="shared" si="8"/>
        <v>0</v>
      </c>
      <c r="T67" s="41">
        <f t="shared" si="8"/>
        <v>0</v>
      </c>
      <c r="U67" s="85">
        <f t="shared" si="9"/>
        <v>150000</v>
      </c>
    </row>
    <row r="68" spans="1:65" x14ac:dyDescent="0.2">
      <c r="A68" s="1"/>
      <c r="B68" s="7" t="s">
        <v>86</v>
      </c>
      <c r="C68" s="7"/>
      <c r="D68" s="20"/>
      <c r="E68" s="23"/>
      <c r="F68" s="82">
        <v>12</v>
      </c>
      <c r="H68" s="4" t="s">
        <v>97</v>
      </c>
      <c r="K68" s="9"/>
      <c r="L68" s="25" t="str">
        <f>"Amount ("&amp;$F$15&amp;")"</f>
        <v>Amount ($)</v>
      </c>
      <c r="N68" s="12" t="str">
        <f t="shared" si="7"/>
        <v>Lender Fees</v>
      </c>
      <c r="P68" s="41">
        <f t="shared" si="8"/>
        <v>-1500</v>
      </c>
      <c r="Q68" s="41">
        <f t="shared" si="8"/>
        <v>0</v>
      </c>
      <c r="R68" s="41">
        <f t="shared" si="8"/>
        <v>0</v>
      </c>
      <c r="S68" s="41">
        <f t="shared" si="8"/>
        <v>0</v>
      </c>
      <c r="T68" s="41">
        <f t="shared" si="8"/>
        <v>0</v>
      </c>
      <c r="U68" s="85">
        <f t="shared" si="9"/>
        <v>-1500</v>
      </c>
    </row>
    <row r="69" spans="1:65" x14ac:dyDescent="0.2">
      <c r="A69" s="1"/>
      <c r="B69" s="6" t="s">
        <v>87</v>
      </c>
      <c r="C69" s="19"/>
      <c r="D69" s="6"/>
      <c r="E69" s="83">
        <v>0.06</v>
      </c>
      <c r="F69" s="28">
        <f>E69*F67</f>
        <v>1500</v>
      </c>
      <c r="H69" s="20" t="s">
        <v>40</v>
      </c>
      <c r="I69" s="20"/>
      <c r="J69" s="5"/>
      <c r="K69" s="106">
        <v>60</v>
      </c>
      <c r="L69" s="29">
        <f>ROUNDUP(K69/12,0)</f>
        <v>5</v>
      </c>
      <c r="N69" s="12" t="str">
        <f t="shared" si="7"/>
        <v>Debt service</v>
      </c>
      <c r="O69" s="53"/>
      <c r="P69" s="41">
        <f t="shared" si="8"/>
        <v>0</v>
      </c>
      <c r="Q69" s="41">
        <f t="shared" si="8"/>
        <v>-9662.7892142185028</v>
      </c>
      <c r="R69" s="41">
        <f t="shared" si="8"/>
        <v>-9662.7892142185028</v>
      </c>
      <c r="S69" s="41">
        <f t="shared" si="8"/>
        <v>-9662.7892142185028</v>
      </c>
      <c r="T69" s="41">
        <f t="shared" si="8"/>
        <v>-9662.7892142185028</v>
      </c>
      <c r="U69" s="85">
        <f t="shared" si="9"/>
        <v>-38651.156856874011</v>
      </c>
    </row>
    <row r="70" spans="1:65" x14ac:dyDescent="0.2">
      <c r="A70" s="1"/>
      <c r="B70" s="6" t="s">
        <v>88</v>
      </c>
      <c r="C70" s="19"/>
      <c r="D70" s="6"/>
      <c r="E70" s="83">
        <v>0.01</v>
      </c>
      <c r="F70" s="28">
        <f>E70*F67</f>
        <v>250</v>
      </c>
      <c r="H70" s="7" t="s">
        <v>31</v>
      </c>
      <c r="I70" s="7"/>
      <c r="J70" s="6"/>
      <c r="K70" s="15"/>
      <c r="L70" s="77">
        <v>250000</v>
      </c>
      <c r="N70" s="12" t="str">
        <f t="shared" si="7"/>
        <v>Debt Repayment-Refinancing</v>
      </c>
      <c r="P70" s="41">
        <f t="shared" si="8"/>
        <v>0</v>
      </c>
      <c r="Q70" s="41">
        <f t="shared" si="8"/>
        <v>0</v>
      </c>
      <c r="R70" s="41">
        <f t="shared" si="8"/>
        <v>0</v>
      </c>
      <c r="S70" s="41">
        <f t="shared" si="8"/>
        <v>0</v>
      </c>
      <c r="T70" s="41">
        <f t="shared" si="8"/>
        <v>-139450.57595095527</v>
      </c>
      <c r="U70" s="85">
        <f t="shared" si="9"/>
        <v>-139450.57595095527</v>
      </c>
    </row>
    <row r="71" spans="1:65" x14ac:dyDescent="0.2">
      <c r="A71" s="1"/>
      <c r="B71" s="84" t="s">
        <v>55</v>
      </c>
      <c r="C71" s="84"/>
      <c r="D71" s="84"/>
      <c r="E71" s="84"/>
      <c r="F71" s="85">
        <f>F63-F67+F70</f>
        <v>25250</v>
      </c>
      <c r="H71" s="7" t="s">
        <v>39</v>
      </c>
      <c r="I71" s="7"/>
      <c r="J71" s="6"/>
      <c r="K71" s="79">
        <v>1.4999999999999999E-2</v>
      </c>
      <c r="L71" s="28">
        <f>K71*L70</f>
        <v>3750</v>
      </c>
      <c r="N71" s="110" t="s">
        <v>18</v>
      </c>
      <c r="O71" s="110"/>
      <c r="P71" s="111">
        <f t="shared" ref="P71:U71" si="10">SUM(P58:P70)</f>
        <v>18587.5</v>
      </c>
      <c r="Q71" s="111">
        <f t="shared" si="10"/>
        <v>10391.310785781499</v>
      </c>
      <c r="R71" s="111">
        <f t="shared" si="10"/>
        <v>10992.933785781503</v>
      </c>
      <c r="S71" s="111">
        <f t="shared" si="10"/>
        <v>11612.605475781487</v>
      </c>
      <c r="T71" s="111">
        <f t="shared" si="10"/>
        <v>119050.29136552621</v>
      </c>
      <c r="U71" s="85">
        <f t="shared" si="10"/>
        <v>170634.64141287073</v>
      </c>
    </row>
    <row r="72" spans="1:65" x14ac:dyDescent="0.2">
      <c r="A72" s="1"/>
      <c r="B72" s="17"/>
      <c r="C72" s="1"/>
      <c r="D72" s="1"/>
      <c r="E72" s="1"/>
      <c r="F72" s="1"/>
      <c r="V72" s="1"/>
      <c r="W72" s="1"/>
      <c r="X72" s="1"/>
    </row>
    <row r="73" spans="1:65" x14ac:dyDescent="0.2">
      <c r="C73" s="12"/>
      <c r="D73" s="12"/>
    </row>
    <row r="74" spans="1:65" s="1" customFormat="1" ht="10" x14ac:dyDescent="0.15">
      <c r="B74" s="4" t="s">
        <v>108</v>
      </c>
    </row>
    <row r="75" spans="1:65" s="1" customFormat="1" ht="10" x14ac:dyDescent="0.15">
      <c r="E75" s="1">
        <v>1</v>
      </c>
      <c r="F75" s="1">
        <f>ROUNDUP(COUNT($E$76:F76)/12,0)</f>
        <v>1</v>
      </c>
      <c r="G75" s="1">
        <f>ROUNDUP(COUNT($E$76:G76)/12,0)</f>
        <v>1</v>
      </c>
      <c r="H75" s="1">
        <f>ROUNDUP(COUNT($E$76:H76)/12,0)</f>
        <v>1</v>
      </c>
      <c r="I75" s="1">
        <f>ROUNDUP(COUNT($E$76:I76)/12,0)</f>
        <v>1</v>
      </c>
      <c r="J75" s="1">
        <f>ROUNDUP(COUNT($E$76:J76)/12,0)</f>
        <v>1</v>
      </c>
      <c r="K75" s="1">
        <f>ROUNDUP(COUNT($E$76:K76)/12,0)</f>
        <v>1</v>
      </c>
      <c r="L75" s="1">
        <f>ROUNDUP(COUNT($E$76:L76)/12,0)</f>
        <v>1</v>
      </c>
      <c r="M75" s="1">
        <f>ROUNDUP(COUNT($E$76:M76)/12,0)</f>
        <v>1</v>
      </c>
      <c r="N75" s="1">
        <f>ROUNDUP(COUNT($E$76:N76)/12,0)</f>
        <v>1</v>
      </c>
      <c r="O75" s="1">
        <f>ROUNDUP(COUNT($E$76:O76)/12,0)</f>
        <v>1</v>
      </c>
      <c r="P75" s="1">
        <f>ROUNDUP(COUNT($E$76:P76)/12,0)</f>
        <v>1</v>
      </c>
      <c r="Q75" s="1">
        <v>1</v>
      </c>
      <c r="R75" s="1">
        <f>F75+1</f>
        <v>2</v>
      </c>
      <c r="S75" s="1">
        <f t="shared" ref="S75:BM75" si="11">G75+1</f>
        <v>2</v>
      </c>
      <c r="T75" s="1">
        <f t="shared" si="11"/>
        <v>2</v>
      </c>
      <c r="U75" s="1">
        <f t="shared" si="11"/>
        <v>2</v>
      </c>
      <c r="V75" s="1">
        <f t="shared" si="11"/>
        <v>2</v>
      </c>
      <c r="W75" s="1">
        <f t="shared" si="11"/>
        <v>2</v>
      </c>
      <c r="X75" s="1">
        <f t="shared" si="11"/>
        <v>2</v>
      </c>
      <c r="Y75" s="1">
        <f t="shared" si="11"/>
        <v>2</v>
      </c>
      <c r="Z75" s="1">
        <f t="shared" si="11"/>
        <v>2</v>
      </c>
      <c r="AA75" s="1">
        <f t="shared" si="11"/>
        <v>2</v>
      </c>
      <c r="AB75" s="1">
        <f t="shared" si="11"/>
        <v>2</v>
      </c>
      <c r="AC75" s="1">
        <f t="shared" si="11"/>
        <v>2</v>
      </c>
      <c r="AD75" s="1">
        <f t="shared" si="11"/>
        <v>3</v>
      </c>
      <c r="AE75" s="1">
        <f t="shared" si="11"/>
        <v>3</v>
      </c>
      <c r="AF75" s="1">
        <f t="shared" si="11"/>
        <v>3</v>
      </c>
      <c r="AG75" s="1">
        <f t="shared" si="11"/>
        <v>3</v>
      </c>
      <c r="AH75" s="1">
        <f t="shared" si="11"/>
        <v>3</v>
      </c>
      <c r="AI75" s="1">
        <f t="shared" si="11"/>
        <v>3</v>
      </c>
      <c r="AJ75" s="1">
        <f t="shared" si="11"/>
        <v>3</v>
      </c>
      <c r="AK75" s="1">
        <f t="shared" si="11"/>
        <v>3</v>
      </c>
      <c r="AL75" s="1">
        <f t="shared" si="11"/>
        <v>3</v>
      </c>
      <c r="AM75" s="1">
        <f t="shared" si="11"/>
        <v>3</v>
      </c>
      <c r="AN75" s="1">
        <f t="shared" si="11"/>
        <v>3</v>
      </c>
      <c r="AO75" s="1">
        <f t="shared" si="11"/>
        <v>3</v>
      </c>
      <c r="AP75" s="1">
        <f t="shared" si="11"/>
        <v>4</v>
      </c>
      <c r="AQ75" s="1">
        <f t="shared" si="11"/>
        <v>4</v>
      </c>
      <c r="AR75" s="1">
        <f t="shared" si="11"/>
        <v>4</v>
      </c>
      <c r="AS75" s="1">
        <f t="shared" si="11"/>
        <v>4</v>
      </c>
      <c r="AT75" s="1">
        <f t="shared" si="11"/>
        <v>4</v>
      </c>
      <c r="AU75" s="1">
        <f t="shared" si="11"/>
        <v>4</v>
      </c>
      <c r="AV75" s="1">
        <f t="shared" si="11"/>
        <v>4</v>
      </c>
      <c r="AW75" s="1">
        <f t="shared" si="11"/>
        <v>4</v>
      </c>
      <c r="AX75" s="1">
        <f t="shared" si="11"/>
        <v>4</v>
      </c>
      <c r="AY75" s="1">
        <f t="shared" si="11"/>
        <v>4</v>
      </c>
      <c r="AZ75" s="1">
        <f t="shared" si="11"/>
        <v>4</v>
      </c>
      <c r="BA75" s="1">
        <f t="shared" si="11"/>
        <v>4</v>
      </c>
      <c r="BB75" s="1">
        <f t="shared" si="11"/>
        <v>5</v>
      </c>
      <c r="BC75" s="1">
        <f t="shared" si="11"/>
        <v>5</v>
      </c>
      <c r="BD75" s="1">
        <f t="shared" si="11"/>
        <v>5</v>
      </c>
      <c r="BE75" s="1">
        <f t="shared" si="11"/>
        <v>5</v>
      </c>
      <c r="BF75" s="1">
        <f t="shared" si="11"/>
        <v>5</v>
      </c>
      <c r="BG75" s="1">
        <f t="shared" si="11"/>
        <v>5</v>
      </c>
      <c r="BH75" s="1">
        <f t="shared" si="11"/>
        <v>5</v>
      </c>
      <c r="BI75" s="1">
        <f t="shared" si="11"/>
        <v>5</v>
      </c>
      <c r="BJ75" s="1">
        <f t="shared" si="11"/>
        <v>5</v>
      </c>
      <c r="BK75" s="1">
        <f t="shared" si="11"/>
        <v>5</v>
      </c>
      <c r="BL75" s="1">
        <f t="shared" si="11"/>
        <v>5</v>
      </c>
      <c r="BM75" s="1">
        <f t="shared" si="11"/>
        <v>5</v>
      </c>
    </row>
    <row r="76" spans="1:65" s="1" customFormat="1" ht="10" x14ac:dyDescent="0.15">
      <c r="E76" s="1">
        <v>0</v>
      </c>
      <c r="F76" s="1">
        <f t="shared" ref="F76:BM76" si="12">E76+1</f>
        <v>1</v>
      </c>
      <c r="G76" s="1">
        <f t="shared" si="12"/>
        <v>2</v>
      </c>
      <c r="H76" s="1">
        <f t="shared" si="12"/>
        <v>3</v>
      </c>
      <c r="I76" s="1">
        <f t="shared" si="12"/>
        <v>4</v>
      </c>
      <c r="J76" s="1">
        <f t="shared" si="12"/>
        <v>5</v>
      </c>
      <c r="K76" s="1">
        <f t="shared" si="12"/>
        <v>6</v>
      </c>
      <c r="L76" s="1">
        <f t="shared" si="12"/>
        <v>7</v>
      </c>
      <c r="M76" s="1">
        <f t="shared" si="12"/>
        <v>8</v>
      </c>
      <c r="N76" s="1">
        <f t="shared" si="12"/>
        <v>9</v>
      </c>
      <c r="O76" s="1">
        <f t="shared" si="12"/>
        <v>10</v>
      </c>
      <c r="P76" s="1">
        <f t="shared" si="12"/>
        <v>11</v>
      </c>
      <c r="Q76" s="1">
        <f t="shared" si="12"/>
        <v>12</v>
      </c>
      <c r="R76" s="1">
        <f t="shared" si="12"/>
        <v>13</v>
      </c>
      <c r="S76" s="1">
        <f t="shared" si="12"/>
        <v>14</v>
      </c>
      <c r="T76" s="1">
        <f t="shared" si="12"/>
        <v>15</v>
      </c>
      <c r="U76" s="1">
        <f t="shared" si="12"/>
        <v>16</v>
      </c>
      <c r="V76" s="1">
        <f t="shared" si="12"/>
        <v>17</v>
      </c>
      <c r="W76" s="1">
        <f t="shared" si="12"/>
        <v>18</v>
      </c>
      <c r="X76" s="1">
        <f t="shared" si="12"/>
        <v>19</v>
      </c>
      <c r="Y76" s="1">
        <f t="shared" si="12"/>
        <v>20</v>
      </c>
      <c r="Z76" s="1">
        <f t="shared" si="12"/>
        <v>21</v>
      </c>
      <c r="AA76" s="1">
        <f t="shared" si="12"/>
        <v>22</v>
      </c>
      <c r="AB76" s="1">
        <f t="shared" si="12"/>
        <v>23</v>
      </c>
      <c r="AC76" s="1">
        <f t="shared" si="12"/>
        <v>24</v>
      </c>
      <c r="AD76" s="1">
        <f t="shared" si="12"/>
        <v>25</v>
      </c>
      <c r="AE76" s="1">
        <f t="shared" si="12"/>
        <v>26</v>
      </c>
      <c r="AF76" s="1">
        <f t="shared" si="12"/>
        <v>27</v>
      </c>
      <c r="AG76" s="1">
        <f t="shared" si="12"/>
        <v>28</v>
      </c>
      <c r="AH76" s="1">
        <f t="shared" si="12"/>
        <v>29</v>
      </c>
      <c r="AI76" s="1">
        <f t="shared" si="12"/>
        <v>30</v>
      </c>
      <c r="AJ76" s="1">
        <f t="shared" si="12"/>
        <v>31</v>
      </c>
      <c r="AK76" s="1">
        <f t="shared" si="12"/>
        <v>32</v>
      </c>
      <c r="AL76" s="1">
        <f t="shared" si="12"/>
        <v>33</v>
      </c>
      <c r="AM76" s="1">
        <f t="shared" si="12"/>
        <v>34</v>
      </c>
      <c r="AN76" s="1">
        <f t="shared" si="12"/>
        <v>35</v>
      </c>
      <c r="AO76" s="1">
        <f t="shared" si="12"/>
        <v>36</v>
      </c>
      <c r="AP76" s="1">
        <f t="shared" si="12"/>
        <v>37</v>
      </c>
      <c r="AQ76" s="1">
        <f t="shared" si="12"/>
        <v>38</v>
      </c>
      <c r="AR76" s="1">
        <f t="shared" si="12"/>
        <v>39</v>
      </c>
      <c r="AS76" s="1">
        <f t="shared" si="12"/>
        <v>40</v>
      </c>
      <c r="AT76" s="1">
        <f t="shared" si="12"/>
        <v>41</v>
      </c>
      <c r="AU76" s="1">
        <f t="shared" si="12"/>
        <v>42</v>
      </c>
      <c r="AV76" s="1">
        <f t="shared" si="12"/>
        <v>43</v>
      </c>
      <c r="AW76" s="1">
        <f t="shared" si="12"/>
        <v>44</v>
      </c>
      <c r="AX76" s="1">
        <f t="shared" si="12"/>
        <v>45</v>
      </c>
      <c r="AY76" s="1">
        <f t="shared" si="12"/>
        <v>46</v>
      </c>
      <c r="AZ76" s="1">
        <f t="shared" si="12"/>
        <v>47</v>
      </c>
      <c r="BA76" s="1">
        <f t="shared" si="12"/>
        <v>48</v>
      </c>
      <c r="BB76" s="1">
        <f t="shared" si="12"/>
        <v>49</v>
      </c>
      <c r="BC76" s="1">
        <f t="shared" si="12"/>
        <v>50</v>
      </c>
      <c r="BD76" s="1">
        <f t="shared" si="12"/>
        <v>51</v>
      </c>
      <c r="BE76" s="1">
        <f t="shared" si="12"/>
        <v>52</v>
      </c>
      <c r="BF76" s="1">
        <f t="shared" si="12"/>
        <v>53</v>
      </c>
      <c r="BG76" s="1">
        <f t="shared" si="12"/>
        <v>54</v>
      </c>
      <c r="BH76" s="1">
        <f t="shared" si="12"/>
        <v>55</v>
      </c>
      <c r="BI76" s="1">
        <f t="shared" si="12"/>
        <v>56</v>
      </c>
      <c r="BJ76" s="1">
        <f t="shared" si="12"/>
        <v>57</v>
      </c>
      <c r="BK76" s="1">
        <f t="shared" si="12"/>
        <v>58</v>
      </c>
      <c r="BL76" s="1">
        <f t="shared" si="12"/>
        <v>59</v>
      </c>
      <c r="BM76" s="1">
        <f t="shared" si="12"/>
        <v>60</v>
      </c>
    </row>
    <row r="77" spans="1:65" s="1" customFormat="1" ht="10" x14ac:dyDescent="0.15">
      <c r="B77" s="36"/>
      <c r="C77" s="36"/>
      <c r="D77" s="36"/>
      <c r="E77" s="30">
        <f>F16</f>
        <v>45138</v>
      </c>
      <c r="F77" s="30">
        <f t="shared" ref="F77:BM77" si="13">EOMONTH(E77,1)</f>
        <v>45169</v>
      </c>
      <c r="G77" s="30">
        <f t="shared" si="13"/>
        <v>45199</v>
      </c>
      <c r="H77" s="30">
        <f t="shared" si="13"/>
        <v>45230</v>
      </c>
      <c r="I77" s="30">
        <f t="shared" si="13"/>
        <v>45260</v>
      </c>
      <c r="J77" s="30">
        <f t="shared" si="13"/>
        <v>45291</v>
      </c>
      <c r="K77" s="30">
        <f t="shared" si="13"/>
        <v>45322</v>
      </c>
      <c r="L77" s="30">
        <f t="shared" si="13"/>
        <v>45351</v>
      </c>
      <c r="M77" s="30">
        <f t="shared" si="13"/>
        <v>45382</v>
      </c>
      <c r="N77" s="30">
        <f t="shared" si="13"/>
        <v>45412</v>
      </c>
      <c r="O77" s="30">
        <f t="shared" si="13"/>
        <v>45443</v>
      </c>
      <c r="P77" s="30">
        <f t="shared" si="13"/>
        <v>45473</v>
      </c>
      <c r="Q77" s="30">
        <f t="shared" si="13"/>
        <v>45504</v>
      </c>
      <c r="R77" s="30">
        <f t="shared" si="13"/>
        <v>45535</v>
      </c>
      <c r="S77" s="30">
        <f t="shared" si="13"/>
        <v>45565</v>
      </c>
      <c r="T77" s="30">
        <f t="shared" si="13"/>
        <v>45596</v>
      </c>
      <c r="U77" s="30">
        <f t="shared" si="13"/>
        <v>45626</v>
      </c>
      <c r="V77" s="30">
        <f t="shared" si="13"/>
        <v>45657</v>
      </c>
      <c r="W77" s="30">
        <f t="shared" si="13"/>
        <v>45688</v>
      </c>
      <c r="X77" s="30">
        <f t="shared" si="13"/>
        <v>45716</v>
      </c>
      <c r="Y77" s="30">
        <f t="shared" si="13"/>
        <v>45747</v>
      </c>
      <c r="Z77" s="30">
        <f t="shared" si="13"/>
        <v>45777</v>
      </c>
      <c r="AA77" s="30">
        <f t="shared" si="13"/>
        <v>45808</v>
      </c>
      <c r="AB77" s="30">
        <f t="shared" si="13"/>
        <v>45838</v>
      </c>
      <c r="AC77" s="30">
        <f t="shared" si="13"/>
        <v>45869</v>
      </c>
      <c r="AD77" s="30">
        <f t="shared" si="13"/>
        <v>45900</v>
      </c>
      <c r="AE77" s="30">
        <f t="shared" si="13"/>
        <v>45930</v>
      </c>
      <c r="AF77" s="30">
        <f t="shared" si="13"/>
        <v>45961</v>
      </c>
      <c r="AG77" s="30">
        <f t="shared" si="13"/>
        <v>45991</v>
      </c>
      <c r="AH77" s="30">
        <f t="shared" si="13"/>
        <v>46022</v>
      </c>
      <c r="AI77" s="30">
        <f t="shared" si="13"/>
        <v>46053</v>
      </c>
      <c r="AJ77" s="30">
        <f t="shared" si="13"/>
        <v>46081</v>
      </c>
      <c r="AK77" s="30">
        <f t="shared" si="13"/>
        <v>46112</v>
      </c>
      <c r="AL77" s="30">
        <f t="shared" si="13"/>
        <v>46142</v>
      </c>
      <c r="AM77" s="30">
        <f t="shared" si="13"/>
        <v>46173</v>
      </c>
      <c r="AN77" s="30">
        <f t="shared" si="13"/>
        <v>46203</v>
      </c>
      <c r="AO77" s="30">
        <f t="shared" si="13"/>
        <v>46234</v>
      </c>
      <c r="AP77" s="30">
        <f t="shared" si="13"/>
        <v>46265</v>
      </c>
      <c r="AQ77" s="30">
        <f t="shared" si="13"/>
        <v>46295</v>
      </c>
      <c r="AR77" s="30">
        <f t="shared" si="13"/>
        <v>46326</v>
      </c>
      <c r="AS77" s="30">
        <f t="shared" si="13"/>
        <v>46356</v>
      </c>
      <c r="AT77" s="30">
        <f t="shared" si="13"/>
        <v>46387</v>
      </c>
      <c r="AU77" s="30">
        <f t="shared" si="13"/>
        <v>46418</v>
      </c>
      <c r="AV77" s="30">
        <f t="shared" si="13"/>
        <v>46446</v>
      </c>
      <c r="AW77" s="30">
        <f t="shared" si="13"/>
        <v>46477</v>
      </c>
      <c r="AX77" s="30">
        <f t="shared" si="13"/>
        <v>46507</v>
      </c>
      <c r="AY77" s="30">
        <f t="shared" si="13"/>
        <v>46538</v>
      </c>
      <c r="AZ77" s="30">
        <f t="shared" si="13"/>
        <v>46568</v>
      </c>
      <c r="BA77" s="30">
        <f t="shared" si="13"/>
        <v>46599</v>
      </c>
      <c r="BB77" s="30">
        <f t="shared" si="13"/>
        <v>46630</v>
      </c>
      <c r="BC77" s="30">
        <f t="shared" si="13"/>
        <v>46660</v>
      </c>
      <c r="BD77" s="30">
        <f t="shared" si="13"/>
        <v>46691</v>
      </c>
      <c r="BE77" s="30">
        <f t="shared" si="13"/>
        <v>46721</v>
      </c>
      <c r="BF77" s="30">
        <f t="shared" si="13"/>
        <v>46752</v>
      </c>
      <c r="BG77" s="30">
        <f t="shared" si="13"/>
        <v>46783</v>
      </c>
      <c r="BH77" s="30">
        <f t="shared" si="13"/>
        <v>46812</v>
      </c>
      <c r="BI77" s="30">
        <f t="shared" si="13"/>
        <v>46843</v>
      </c>
      <c r="BJ77" s="30">
        <f t="shared" si="13"/>
        <v>46873</v>
      </c>
      <c r="BK77" s="30">
        <f t="shared" si="13"/>
        <v>46904</v>
      </c>
      <c r="BL77" s="30">
        <f t="shared" si="13"/>
        <v>46934</v>
      </c>
      <c r="BM77" s="30">
        <f t="shared" si="13"/>
        <v>46965</v>
      </c>
    </row>
    <row r="78" spans="1:65" s="1" customFormat="1" ht="10" x14ac:dyDescent="0.15">
      <c r="B78" s="12" t="str">
        <f t="shared" ref="B78:B92" si="14">N41</f>
        <v>Purchase</v>
      </c>
      <c r="E78" s="12">
        <f>-F37</f>
        <v>-70000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</row>
    <row r="79" spans="1:65" s="1" customFormat="1" ht="10" x14ac:dyDescent="0.15">
      <c r="B79" s="12" t="str">
        <f t="shared" si="14"/>
        <v>Property/Land Tax</v>
      </c>
      <c r="E79" s="12">
        <f>-F39</f>
        <v>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</row>
    <row r="80" spans="1:65" s="1" customFormat="1" ht="10" x14ac:dyDescent="0.15">
      <c r="B80" s="12" t="str">
        <f t="shared" si="14"/>
        <v>Refurbishment costs</v>
      </c>
      <c r="E80" s="12">
        <f>IF(F64=0,F63,0)</f>
        <v>0</v>
      </c>
      <c r="F80" s="12">
        <f>-IF(COUNT($F$77:F77)&gt;$F$64,0,$F$63/$F$64)</f>
        <v>-8333.3333333333339</v>
      </c>
      <c r="G80" s="12">
        <f>-IF(COUNT($F$77:G77)&gt;$F$64,0,$F$63/$F$64)</f>
        <v>-8333.3333333333339</v>
      </c>
      <c r="H80" s="12">
        <f>-IF(COUNT($F$77:H77)&gt;$F$64,0,$F$63/$F$64)</f>
        <v>-8333.3333333333339</v>
      </c>
      <c r="I80" s="12">
        <f>-IF(COUNT($F$77:I77)&gt;$F$64,0,$F$63/$F$64)</f>
        <v>-8333.3333333333339</v>
      </c>
      <c r="J80" s="12">
        <f>-IF(COUNT($F$77:J77)&gt;$F$64,0,$F$63/$F$64)</f>
        <v>-8333.3333333333339</v>
      </c>
      <c r="K80" s="12">
        <f>-IF(COUNT($F$77:K77)&gt;$F$64,0,$F$63/$F$64)</f>
        <v>-8333.3333333333339</v>
      </c>
      <c r="L80" s="12">
        <f>-IF(COUNT($F$77:L77)&gt;$F$64,0,$F$63/$F$64)</f>
        <v>0</v>
      </c>
      <c r="M80" s="12">
        <f>-IF(COUNT($F$77:M77)&gt;$F$64,0,$F$63/$F$64)</f>
        <v>0</v>
      </c>
      <c r="N80" s="12">
        <f>-IF(COUNT($F$77:N77)&gt;$F$64,0,$F$63/$F$64)</f>
        <v>0</v>
      </c>
      <c r="O80" s="12">
        <f>-IF(COUNT($F$77:O77)&gt;$F$64,0,$F$63/$F$64)</f>
        <v>0</v>
      </c>
      <c r="P80" s="12">
        <f>-IF(COUNT($F$77:P77)&gt;$F$64,0,$F$63/$F$64)</f>
        <v>0</v>
      </c>
      <c r="Q80" s="12">
        <f>-IF(COUNT($F$77:Q77)&gt;$F$64,0,$F$63/$F$64)</f>
        <v>0</v>
      </c>
      <c r="R80" s="12">
        <f>-IF(COUNT($F$77:R77)&gt;$F$64,0,$F$63/$F$64)</f>
        <v>0</v>
      </c>
      <c r="S80" s="12">
        <f>-IF(COUNT($F$77:S77)&gt;$F$64,0,$F$63/$F$64)</f>
        <v>0</v>
      </c>
      <c r="T80" s="12">
        <f>-IF(COUNT($F$77:T77)&gt;$F$64,0,$F$63/$F$64)</f>
        <v>0</v>
      </c>
      <c r="U80" s="12">
        <f>-IF(COUNT($F$77:U77)&gt;$F$64,0,$F$63/$F$64)</f>
        <v>0</v>
      </c>
      <c r="V80" s="12">
        <f>-IF(COUNT($F$77:V77)&gt;$F$64,0,$F$63/$F$64)</f>
        <v>0</v>
      </c>
      <c r="W80" s="12">
        <f>-IF(COUNT($F$77:W77)&gt;$F$64,0,$F$63/$F$64)</f>
        <v>0</v>
      </c>
      <c r="X80" s="12">
        <f>-IF(COUNT($F$77:X77)&gt;$F$64,0,$F$63/$F$64)</f>
        <v>0</v>
      </c>
      <c r="Y80" s="12">
        <f>-IF(COUNT($F$77:Y77)&gt;$F$64,0,$F$63/$F$64)</f>
        <v>0</v>
      </c>
      <c r="Z80" s="12">
        <f>-IF(COUNT($F$77:Z77)&gt;$F$64,0,$F$63/$F$64)</f>
        <v>0</v>
      </c>
      <c r="AA80" s="12">
        <f>-IF(COUNT($F$77:AA77)&gt;$F$64,0,$F$63/$F$64)</f>
        <v>0</v>
      </c>
      <c r="AB80" s="12">
        <f>-IF(COUNT($F$77:AB77)&gt;$F$64,0,$F$63/$F$64)</f>
        <v>0</v>
      </c>
      <c r="AC80" s="12">
        <f>-IF(COUNT($F$77:AC77)&gt;$F$64,0,$F$63/$F$64)</f>
        <v>0</v>
      </c>
      <c r="AD80" s="12">
        <f>-IF(COUNT($F$77:AD77)&gt;$F$64,0,$F$63/$F$64)</f>
        <v>0</v>
      </c>
      <c r="AE80" s="12">
        <f>-IF(COUNT($F$77:AE77)&gt;$F$64,0,$F$63/$F$64)</f>
        <v>0</v>
      </c>
      <c r="AF80" s="12">
        <f>-IF(COUNT($F$77:AF77)&gt;$F$64,0,$F$63/$F$64)</f>
        <v>0</v>
      </c>
      <c r="AG80" s="12">
        <f>-IF(COUNT($F$77:AG77)&gt;$F$64,0,$F$63/$F$64)</f>
        <v>0</v>
      </c>
      <c r="AH80" s="12">
        <f>-IF(COUNT($F$77:AH77)&gt;$F$64,0,$F$63/$F$64)</f>
        <v>0</v>
      </c>
      <c r="AI80" s="12">
        <f>-IF(COUNT($F$77:AI77)&gt;$F$64,0,$F$63/$F$64)</f>
        <v>0</v>
      </c>
      <c r="AJ80" s="12">
        <f>-IF(COUNT($F$77:AJ77)&gt;$F$64,0,$F$63/$F$64)</f>
        <v>0</v>
      </c>
      <c r="AK80" s="12">
        <f>-IF(COUNT($F$77:AK77)&gt;$F$64,0,$F$63/$F$64)</f>
        <v>0</v>
      </c>
      <c r="AL80" s="12">
        <f>-IF(COUNT($F$77:AL77)&gt;$F$64,0,$F$63/$F$64)</f>
        <v>0</v>
      </c>
      <c r="AM80" s="12">
        <f>-IF(COUNT($F$77:AM77)&gt;$F$64,0,$F$63/$F$64)</f>
        <v>0</v>
      </c>
      <c r="AN80" s="12">
        <f>-IF(COUNT($F$77:AN77)&gt;$F$64,0,$F$63/$F$64)</f>
        <v>0</v>
      </c>
      <c r="AO80" s="12">
        <f>-IF(COUNT($F$77:AO77)&gt;$F$64,0,$F$63/$F$64)</f>
        <v>0</v>
      </c>
      <c r="AP80" s="12">
        <f>-IF(COUNT($F$77:AP77)&gt;$F$64,0,$F$63/$F$64)</f>
        <v>0</v>
      </c>
      <c r="AQ80" s="12">
        <f>-IF(COUNT($F$77:AQ77)&gt;$F$64,0,$F$63/$F$64)</f>
        <v>0</v>
      </c>
      <c r="AR80" s="12">
        <f>-IF(COUNT($F$77:AR77)&gt;$F$64,0,$F$63/$F$64)</f>
        <v>0</v>
      </c>
      <c r="AS80" s="12">
        <f>-IF(COUNT($F$77:AS77)&gt;$F$64,0,$F$63/$F$64)</f>
        <v>0</v>
      </c>
      <c r="AT80" s="12">
        <f>-IF(COUNT($F$77:AT77)&gt;$F$64,0,$F$63/$F$64)</f>
        <v>0</v>
      </c>
      <c r="AU80" s="12">
        <f>-IF(COUNT($F$77:AU77)&gt;$F$64,0,$F$63/$F$64)</f>
        <v>0</v>
      </c>
      <c r="AV80" s="12">
        <f>-IF(COUNT($F$77:AV77)&gt;$F$64,0,$F$63/$F$64)</f>
        <v>0</v>
      </c>
      <c r="AW80" s="12">
        <f>-IF(COUNT($F$77:AW77)&gt;$F$64,0,$F$63/$F$64)</f>
        <v>0</v>
      </c>
      <c r="AX80" s="12">
        <f>-IF(COUNT($F$77:AX77)&gt;$F$64,0,$F$63/$F$64)</f>
        <v>0</v>
      </c>
      <c r="AY80" s="12">
        <f>-IF(COUNT($F$77:AY77)&gt;$F$64,0,$F$63/$F$64)</f>
        <v>0</v>
      </c>
      <c r="AZ80" s="12">
        <f>-IF(COUNT($F$77:AZ77)&gt;$F$64,0,$F$63/$F$64)</f>
        <v>0</v>
      </c>
      <c r="BA80" s="12">
        <f>-IF(COUNT($F$77:BA77)&gt;$F$64,0,$F$63/$F$64)</f>
        <v>0</v>
      </c>
      <c r="BB80" s="12">
        <f>-IF(COUNT($F$77:BB77)&gt;$F$64,0,$F$63/$F$64)</f>
        <v>0</v>
      </c>
      <c r="BC80" s="12">
        <f>-IF(COUNT($F$77:BC77)&gt;$F$64,0,$F$63/$F$64)</f>
        <v>0</v>
      </c>
      <c r="BD80" s="12">
        <f>-IF(COUNT($F$77:BD77)&gt;$F$64,0,$F$63/$F$64)</f>
        <v>0</v>
      </c>
      <c r="BE80" s="12">
        <f>-IF(COUNT($F$77:BE77)&gt;$F$64,0,$F$63/$F$64)</f>
        <v>0</v>
      </c>
      <c r="BF80" s="12">
        <f>-IF(COUNT($F$77:BF77)&gt;$F$64,0,$F$63/$F$64)</f>
        <v>0</v>
      </c>
      <c r="BG80" s="12">
        <f>-IF(COUNT($F$77:BG77)&gt;$F$64,0,$F$63/$F$64)</f>
        <v>0</v>
      </c>
      <c r="BH80" s="12">
        <f>-IF(COUNT($F$77:BH77)&gt;$F$64,0,$F$63/$F$64)</f>
        <v>0</v>
      </c>
      <c r="BI80" s="12">
        <f>-IF(COUNT($F$77:BI77)&gt;$F$64,0,$F$63/$F$64)</f>
        <v>0</v>
      </c>
      <c r="BJ80" s="12">
        <f>-IF(COUNT($F$77:BJ77)&gt;$F$64,0,$F$63/$F$64)</f>
        <v>0</v>
      </c>
      <c r="BK80" s="12">
        <f>-IF(COUNT($F$77:BK77)&gt;$F$64,0,$F$63/$F$64)</f>
        <v>0</v>
      </c>
      <c r="BL80" s="12">
        <f>-IF(COUNT($F$77:BL77)&gt;$F$64,0,$F$63/$F$64)</f>
        <v>0</v>
      </c>
      <c r="BM80" s="12">
        <f>-IF(COUNT($F$77:BM77)&gt;$F$64,0,$F$63/$F$64)</f>
        <v>0</v>
      </c>
    </row>
    <row r="81" spans="2:65" s="1" customFormat="1" ht="10" x14ac:dyDescent="0.15">
      <c r="B81" s="12" t="str">
        <f t="shared" si="14"/>
        <v>Purchase fees (Costs 1.4 to 1.11)</v>
      </c>
      <c r="E81" s="12">
        <f>-SUM(F40:F47)</f>
        <v>-2500</v>
      </c>
    </row>
    <row r="82" spans="2:65" s="1" customFormat="1" ht="10" x14ac:dyDescent="0.15">
      <c r="B82" s="12" t="str">
        <f t="shared" si="14"/>
        <v>Valuation fee</v>
      </c>
      <c r="E82" s="12">
        <f>-F45</f>
        <v>0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</row>
    <row r="83" spans="2:65" s="1" customFormat="1" ht="10" x14ac:dyDescent="0.15">
      <c r="B83" s="12" t="str">
        <f t="shared" si="14"/>
        <v>Rent</v>
      </c>
      <c r="E83" s="12">
        <f>IF(COUNT(E$77:$F77)&gt;=$L$37,$K$38,0)*IF(E76&gt;$K$69,0,1)*(1+$L$48)^(-1+E75)</f>
        <v>0</v>
      </c>
      <c r="F83" s="12">
        <f>IF(COUNT($F$77:F77)&gt;=$L$37,$K$38,0)*IF(F76&gt;$K$69,0,1)*(1+$L$48)^(-1+F75)</f>
        <v>0</v>
      </c>
      <c r="G83" s="12">
        <f>IF(COUNT($F$77:G77)&gt;=$L$37,$K$38,0)*IF(G76&gt;$K$69,0,1)*(1+$L$48)^(-1+G75)</f>
        <v>0</v>
      </c>
      <c r="H83" s="12">
        <f>IF(COUNT($F$77:H77)&gt;=$L$37,$K$38,0)*IF(H76&gt;$K$69,0,1)*(1+$L$48)^(-1+H75)</f>
        <v>0</v>
      </c>
      <c r="I83" s="12">
        <f>IF(COUNT($F$77:I77)&gt;=$L$37,$K$38,0)*IF(I76&gt;$K$69,0,1)*(1+$L$48)^(-1+I75)</f>
        <v>0</v>
      </c>
      <c r="J83" s="12">
        <f>IF(COUNT($F$77:J77)&gt;=$L$37,$K$38,0)*IF(J76&gt;$K$69,0,1)*(1+$L$48)^(-1+J75)</f>
        <v>0</v>
      </c>
      <c r="K83" s="12">
        <f>IF(COUNT($F$77:K77)&gt;=$L$37,$K$38,0)*IF(K76&gt;$K$69,0,1)*(1+$L$48)^(-1+K75)</f>
        <v>0</v>
      </c>
      <c r="L83" s="12">
        <f>IF(COUNT($F$77:L77)&gt;=$L$37,$K$38,0)*IF(L76&gt;$K$69,0,1)*(1+$L$48)^(-1+L75)</f>
        <v>0</v>
      </c>
      <c r="M83" s="12">
        <f>IF(COUNT($F$77:M77)&gt;=$L$37,$K$38,0)*IF(M76&gt;$K$69,0,1)*(1+$L$48)^(-1+M75)</f>
        <v>3000</v>
      </c>
      <c r="N83" s="12">
        <f>IF(COUNT($F$77:N77)&gt;=$L$37,$K$38,0)*IF(N76&gt;$K$69,0,1)*(1+$L$48)^(-1+N75)</f>
        <v>3000</v>
      </c>
      <c r="O83" s="12">
        <f>IF(COUNT($F$77:O77)&gt;=$L$37,$K$38,0)*IF(O76&gt;$K$69,0,1)*(1+$L$48)^(-1+O75)</f>
        <v>3000</v>
      </c>
      <c r="P83" s="12">
        <f>IF(COUNT($F$77:P77)&gt;=$L$37,$K$38,0)*IF(P76&gt;$K$69,0,1)*(1+$L$48)^(-1+P75)</f>
        <v>3000</v>
      </c>
      <c r="Q83" s="12">
        <f>IF(COUNT($F$77:Q77)&gt;=$L$37,$K$38,0)*IF(Q76&gt;$K$69,0,1)*(1+$L$48)^(-1+Q75)</f>
        <v>3000</v>
      </c>
      <c r="R83" s="12">
        <f>IF(COUNT($F$77:R77)&gt;=$L$37,$K$38,0)*IF(R76&gt;$K$69,0,1)*(1+$L$48)^(-1+R75)</f>
        <v>3090</v>
      </c>
      <c r="S83" s="12">
        <f>IF(COUNT($F$77:S77)&gt;=$L$37,$K$38,0)*IF(S76&gt;$K$69,0,1)*(1+$L$48)^(-1+S75)</f>
        <v>3090</v>
      </c>
      <c r="T83" s="12">
        <f>IF(COUNT($F$77:T77)&gt;=$L$37,$K$38,0)*IF(T76&gt;$K$69,0,1)*(1+$L$48)^(-1+T75)</f>
        <v>3090</v>
      </c>
      <c r="U83" s="12">
        <f>IF(COUNT($F$77:U77)&gt;=$L$37,$K$38,0)*IF(U76&gt;$K$69,0,1)*(1+$L$48)^(-1+U75)</f>
        <v>3090</v>
      </c>
      <c r="V83" s="12">
        <f>IF(COUNT($F$77:V77)&gt;=$L$37,$K$38,0)*IF(V76&gt;$K$69,0,1)*(1+$L$48)^(-1+V75)</f>
        <v>3090</v>
      </c>
      <c r="W83" s="12">
        <f>IF(COUNT($F$77:W77)&gt;=$L$37,$K$38,0)*IF(W76&gt;$K$69,0,1)*(1+$L$48)^(-1+W75)</f>
        <v>3090</v>
      </c>
      <c r="X83" s="12">
        <f>IF(COUNT($F$77:X77)&gt;=$L$37,$K$38,0)*IF(X76&gt;$K$69,0,1)*(1+$L$48)^(-1+X75)</f>
        <v>3090</v>
      </c>
      <c r="Y83" s="12">
        <f>IF(COUNT($F$77:Y77)&gt;=$L$37,$K$38,0)*IF(Y76&gt;$K$69,0,1)*(1+$L$48)^(-1+Y75)</f>
        <v>3090</v>
      </c>
      <c r="Z83" s="12">
        <f>IF(COUNT($F$77:Z77)&gt;=$L$37,$K$38,0)*IF(Z76&gt;$K$69,0,1)*(1+$L$48)^(-1+Z75)</f>
        <v>3090</v>
      </c>
      <c r="AA83" s="12">
        <f>IF(COUNT($F$77:AA77)&gt;=$L$37,$K$38,0)*IF(AA76&gt;$K$69,0,1)*(1+$L$48)^(-1+AA75)</f>
        <v>3090</v>
      </c>
      <c r="AB83" s="12">
        <f>IF(COUNT($F$77:AB77)&gt;=$L$37,$K$38,0)*IF(AB76&gt;$K$69,0,1)*(1+$L$48)^(-1+AB75)</f>
        <v>3090</v>
      </c>
      <c r="AC83" s="12">
        <f>IF(COUNT($F$77:AC77)&gt;=$L$37,$K$38,0)*IF(AC76&gt;$K$69,0,1)*(1+$L$48)^(-1+AC75)</f>
        <v>3090</v>
      </c>
      <c r="AD83" s="12">
        <f>IF(COUNT($F$77:AD77)&gt;=$L$37,$K$38,0)*IF(AD76&gt;$K$69,0,1)*(1+$L$48)^(-1+AD75)</f>
        <v>3182.7</v>
      </c>
      <c r="AE83" s="12">
        <f>IF(COUNT($F$77:AE77)&gt;=$L$37,$K$38,0)*IF(AE76&gt;$K$69,0,1)*(1+$L$48)^(-1+AE75)</f>
        <v>3182.7</v>
      </c>
      <c r="AF83" s="12">
        <f>IF(COUNT($F$77:AF77)&gt;=$L$37,$K$38,0)*IF(AF76&gt;$K$69,0,1)*(1+$L$48)^(-1+AF75)</f>
        <v>3182.7</v>
      </c>
      <c r="AG83" s="12">
        <f>IF(COUNT($F$77:AG77)&gt;=$L$37,$K$38,0)*IF(AG76&gt;$K$69,0,1)*(1+$L$48)^(-1+AG75)</f>
        <v>3182.7</v>
      </c>
      <c r="AH83" s="12">
        <f>IF(COUNT($F$77:AH77)&gt;=$L$37,$K$38,0)*IF(AH76&gt;$K$69,0,1)*(1+$L$48)^(-1+AH75)</f>
        <v>3182.7</v>
      </c>
      <c r="AI83" s="12">
        <f>IF(COUNT($F$77:AI77)&gt;=$L$37,$K$38,0)*IF(AI76&gt;$K$69,0,1)*(1+$L$48)^(-1+AI75)</f>
        <v>3182.7</v>
      </c>
      <c r="AJ83" s="12">
        <f>IF(COUNT($F$77:AJ77)&gt;=$L$37,$K$38,0)*IF(AJ76&gt;$K$69,0,1)*(1+$L$48)^(-1+AJ75)</f>
        <v>3182.7</v>
      </c>
      <c r="AK83" s="12">
        <f>IF(COUNT($F$77:AK77)&gt;=$L$37,$K$38,0)*IF(AK76&gt;$K$69,0,1)*(1+$L$48)^(-1+AK75)</f>
        <v>3182.7</v>
      </c>
      <c r="AL83" s="12">
        <f>IF(COUNT($F$77:AL77)&gt;=$L$37,$K$38,0)*IF(AL76&gt;$K$69,0,1)*(1+$L$48)^(-1+AL75)</f>
        <v>3182.7</v>
      </c>
      <c r="AM83" s="12">
        <f>IF(COUNT($F$77:AM77)&gt;=$L$37,$K$38,0)*IF(AM76&gt;$K$69,0,1)*(1+$L$48)^(-1+AM75)</f>
        <v>3182.7</v>
      </c>
      <c r="AN83" s="12">
        <f>IF(COUNT($F$77:AN77)&gt;=$L$37,$K$38,0)*IF(AN76&gt;$K$69,0,1)*(1+$L$48)^(-1+AN75)</f>
        <v>3182.7</v>
      </c>
      <c r="AO83" s="12">
        <f>IF(COUNT($F$77:AO77)&gt;=$L$37,$K$38,0)*IF(AO76&gt;$K$69,0,1)*(1+$L$48)^(-1+AO75)</f>
        <v>3182.7</v>
      </c>
      <c r="AP83" s="12">
        <f>IF(COUNT($F$77:AP77)&gt;=$L$37,$K$38,0)*IF(AP76&gt;$K$69,0,1)*(1+$L$48)^(-1+AP75)</f>
        <v>3278.181</v>
      </c>
      <c r="AQ83" s="12">
        <f>IF(COUNT($F$77:AQ77)&gt;=$L$37,$K$38,0)*IF(AQ76&gt;$K$69,0,1)*(1+$L$48)^(-1+AQ75)</f>
        <v>3278.181</v>
      </c>
      <c r="AR83" s="12">
        <f>IF(COUNT($F$77:AR77)&gt;=$L$37,$K$38,0)*IF(AR76&gt;$K$69,0,1)*(1+$L$48)^(-1+AR75)</f>
        <v>3278.181</v>
      </c>
      <c r="AS83" s="12">
        <f>IF(COUNT($F$77:AS77)&gt;=$L$37,$K$38,0)*IF(AS76&gt;$K$69,0,1)*(1+$L$48)^(-1+AS75)</f>
        <v>3278.181</v>
      </c>
      <c r="AT83" s="12">
        <f>IF(COUNT($F$77:AT77)&gt;=$L$37,$K$38,0)*IF(AT76&gt;$K$69,0,1)*(1+$L$48)^(-1+AT75)</f>
        <v>3278.181</v>
      </c>
      <c r="AU83" s="12">
        <f>IF(COUNT($F$77:AU77)&gt;=$L$37,$K$38,0)*IF(AU76&gt;$K$69,0,1)*(1+$L$48)^(-1+AU75)</f>
        <v>3278.181</v>
      </c>
      <c r="AV83" s="12">
        <f>IF(COUNT($F$77:AV77)&gt;=$L$37,$K$38,0)*IF(AV76&gt;$K$69,0,1)*(1+$L$48)^(-1+AV75)</f>
        <v>3278.181</v>
      </c>
      <c r="AW83" s="12">
        <f>IF(COUNT($F$77:AW77)&gt;=$L$37,$K$38,0)*IF(AW76&gt;$K$69,0,1)*(1+$L$48)^(-1+AW75)</f>
        <v>3278.181</v>
      </c>
      <c r="AX83" s="12">
        <f>IF(COUNT($F$77:AX77)&gt;=$L$37,$K$38,0)*IF(AX76&gt;$K$69,0,1)*(1+$L$48)^(-1+AX75)</f>
        <v>3278.181</v>
      </c>
      <c r="AY83" s="12">
        <f>IF(COUNT($F$77:AY77)&gt;=$L$37,$K$38,0)*IF(AY76&gt;$K$69,0,1)*(1+$L$48)^(-1+AY75)</f>
        <v>3278.181</v>
      </c>
      <c r="AZ83" s="12">
        <f>IF(COUNT($F$77:AZ77)&gt;=$L$37,$K$38,0)*IF(AZ76&gt;$K$69,0,1)*(1+$L$48)^(-1+AZ75)</f>
        <v>3278.181</v>
      </c>
      <c r="BA83" s="12">
        <f>IF(COUNT($F$77:BA77)&gt;=$L$37,$K$38,0)*IF(BA76&gt;$K$69,0,1)*(1+$L$48)^(-1+BA75)</f>
        <v>3278.181</v>
      </c>
      <c r="BB83" s="12">
        <f>IF(COUNT($F$77:BB77)&gt;=$L$37,$K$38,0)*IF(BB76&gt;$K$69,0,1)*(1+$L$48)^(-1+BB75)</f>
        <v>3376.5264299999999</v>
      </c>
      <c r="BC83" s="12">
        <f>IF(COUNT($F$77:BC77)&gt;=$L$37,$K$38,0)*IF(BC76&gt;$K$69,0,1)*(1+$L$48)^(-1+BC75)</f>
        <v>3376.5264299999999</v>
      </c>
      <c r="BD83" s="12">
        <f>IF(COUNT($F$77:BD77)&gt;=$L$37,$K$38,0)*IF(BD76&gt;$K$69,0,1)*(1+$L$48)^(-1+BD75)</f>
        <v>3376.5264299999999</v>
      </c>
      <c r="BE83" s="12">
        <f>IF(COUNT($F$77:BE77)&gt;=$L$37,$K$38,0)*IF(BE76&gt;$K$69,0,1)*(1+$L$48)^(-1+BE75)</f>
        <v>3376.5264299999999</v>
      </c>
      <c r="BF83" s="12">
        <f>IF(COUNT($F$77:BF77)&gt;=$L$37,$K$38,0)*IF(BF76&gt;$K$69,0,1)*(1+$L$48)^(-1+BF75)</f>
        <v>3376.5264299999999</v>
      </c>
      <c r="BG83" s="12">
        <f>IF(COUNT($F$77:BG77)&gt;=$L$37,$K$38,0)*IF(BG76&gt;$K$69,0,1)*(1+$L$48)^(-1+BG75)</f>
        <v>3376.5264299999999</v>
      </c>
      <c r="BH83" s="12">
        <f>IF(COUNT($F$77:BH77)&gt;=$L$37,$K$38,0)*IF(BH76&gt;$K$69,0,1)*(1+$L$48)^(-1+BH75)</f>
        <v>3376.5264299999999</v>
      </c>
      <c r="BI83" s="12">
        <f>IF(COUNT($F$77:BI77)&gt;=$L$37,$K$38,0)*IF(BI76&gt;$K$69,0,1)*(1+$L$48)^(-1+BI75)</f>
        <v>3376.5264299999999</v>
      </c>
      <c r="BJ83" s="12">
        <f>IF(COUNT($F$77:BJ77)&gt;=$L$37,$K$38,0)*IF(BJ76&gt;$K$69,0,1)*(1+$L$48)^(-1+BJ75)</f>
        <v>3376.5264299999999</v>
      </c>
      <c r="BK83" s="12">
        <f>IF(COUNT($F$77:BK77)&gt;=$L$37,$K$38,0)*IF(BK76&gt;$K$69,0,1)*(1+$L$48)^(-1+BK75)</f>
        <v>3376.5264299999999</v>
      </c>
      <c r="BL83" s="12">
        <f>IF(COUNT($F$77:BL77)&gt;=$L$37,$K$38,0)*IF(BL76&gt;$K$69,0,1)*(1+$L$48)^(-1+BL75)</f>
        <v>3376.5264299999999</v>
      </c>
      <c r="BM83" s="12">
        <f>IF(COUNT($F$77:BM77)&gt;=$L$37,$K$38,0)*IF(BM76&gt;$K$69,0,1)*(1+$L$48)^(-1+BM75)</f>
        <v>3376.5264299999999</v>
      </c>
    </row>
    <row r="84" spans="2:65" s="1" customFormat="1" ht="10" x14ac:dyDescent="0.15">
      <c r="B84" s="12" t="str">
        <f t="shared" si="14"/>
        <v>Voids</v>
      </c>
      <c r="E84" s="12">
        <f>-E83*$K$39</f>
        <v>0</v>
      </c>
      <c r="F84" s="12">
        <f t="shared" ref="F84:AK84" si="15">-F83*$K$39*IF(F76&gt;$K$69,0,1)</f>
        <v>0</v>
      </c>
      <c r="G84" s="12">
        <f t="shared" si="15"/>
        <v>0</v>
      </c>
      <c r="H84" s="12">
        <f t="shared" si="15"/>
        <v>0</v>
      </c>
      <c r="I84" s="12">
        <f t="shared" si="15"/>
        <v>0</v>
      </c>
      <c r="J84" s="12">
        <f t="shared" si="15"/>
        <v>0</v>
      </c>
      <c r="K84" s="12">
        <f t="shared" si="15"/>
        <v>0</v>
      </c>
      <c r="L84" s="12">
        <f t="shared" si="15"/>
        <v>0</v>
      </c>
      <c r="M84" s="12">
        <f t="shared" si="15"/>
        <v>-150</v>
      </c>
      <c r="N84" s="12">
        <f t="shared" si="15"/>
        <v>-150</v>
      </c>
      <c r="O84" s="12">
        <f t="shared" si="15"/>
        <v>-150</v>
      </c>
      <c r="P84" s="12">
        <f t="shared" si="15"/>
        <v>-150</v>
      </c>
      <c r="Q84" s="12">
        <f t="shared" si="15"/>
        <v>-150</v>
      </c>
      <c r="R84" s="12">
        <f t="shared" si="15"/>
        <v>-154.5</v>
      </c>
      <c r="S84" s="12">
        <f t="shared" si="15"/>
        <v>-154.5</v>
      </c>
      <c r="T84" s="12">
        <f t="shared" si="15"/>
        <v>-154.5</v>
      </c>
      <c r="U84" s="12">
        <f t="shared" si="15"/>
        <v>-154.5</v>
      </c>
      <c r="V84" s="12">
        <f t="shared" si="15"/>
        <v>-154.5</v>
      </c>
      <c r="W84" s="12">
        <f t="shared" si="15"/>
        <v>-154.5</v>
      </c>
      <c r="X84" s="12">
        <f t="shared" si="15"/>
        <v>-154.5</v>
      </c>
      <c r="Y84" s="12">
        <f t="shared" si="15"/>
        <v>-154.5</v>
      </c>
      <c r="Z84" s="12">
        <f t="shared" si="15"/>
        <v>-154.5</v>
      </c>
      <c r="AA84" s="12">
        <f t="shared" si="15"/>
        <v>-154.5</v>
      </c>
      <c r="AB84" s="12">
        <f t="shared" si="15"/>
        <v>-154.5</v>
      </c>
      <c r="AC84" s="12">
        <f t="shared" si="15"/>
        <v>-154.5</v>
      </c>
      <c r="AD84" s="12">
        <f t="shared" si="15"/>
        <v>-159.13499999999999</v>
      </c>
      <c r="AE84" s="12">
        <f t="shared" si="15"/>
        <v>-159.13499999999999</v>
      </c>
      <c r="AF84" s="12">
        <f t="shared" si="15"/>
        <v>-159.13499999999999</v>
      </c>
      <c r="AG84" s="12">
        <f t="shared" si="15"/>
        <v>-159.13499999999999</v>
      </c>
      <c r="AH84" s="12">
        <f t="shared" si="15"/>
        <v>-159.13499999999999</v>
      </c>
      <c r="AI84" s="12">
        <f t="shared" si="15"/>
        <v>-159.13499999999999</v>
      </c>
      <c r="AJ84" s="12">
        <f t="shared" si="15"/>
        <v>-159.13499999999999</v>
      </c>
      <c r="AK84" s="12">
        <f t="shared" si="15"/>
        <v>-159.13499999999999</v>
      </c>
      <c r="AL84" s="12">
        <f t="shared" ref="AL84:BM84" si="16">-AL83*$K$39*IF(AL76&gt;$K$69,0,1)</f>
        <v>-159.13499999999999</v>
      </c>
      <c r="AM84" s="12">
        <f t="shared" si="16"/>
        <v>-159.13499999999999</v>
      </c>
      <c r="AN84" s="12">
        <f t="shared" si="16"/>
        <v>-159.13499999999999</v>
      </c>
      <c r="AO84" s="12">
        <f t="shared" si="16"/>
        <v>-159.13499999999999</v>
      </c>
      <c r="AP84" s="12">
        <f t="shared" si="16"/>
        <v>-163.90905000000001</v>
      </c>
      <c r="AQ84" s="12">
        <f t="shared" si="16"/>
        <v>-163.90905000000001</v>
      </c>
      <c r="AR84" s="12">
        <f t="shared" si="16"/>
        <v>-163.90905000000001</v>
      </c>
      <c r="AS84" s="12">
        <f t="shared" si="16"/>
        <v>-163.90905000000001</v>
      </c>
      <c r="AT84" s="12">
        <f t="shared" si="16"/>
        <v>-163.90905000000001</v>
      </c>
      <c r="AU84" s="12">
        <f t="shared" si="16"/>
        <v>-163.90905000000001</v>
      </c>
      <c r="AV84" s="12">
        <f t="shared" si="16"/>
        <v>-163.90905000000001</v>
      </c>
      <c r="AW84" s="12">
        <f t="shared" si="16"/>
        <v>-163.90905000000001</v>
      </c>
      <c r="AX84" s="12">
        <f t="shared" si="16"/>
        <v>-163.90905000000001</v>
      </c>
      <c r="AY84" s="12">
        <f t="shared" si="16"/>
        <v>-163.90905000000001</v>
      </c>
      <c r="AZ84" s="12">
        <f t="shared" si="16"/>
        <v>-163.90905000000001</v>
      </c>
      <c r="BA84" s="12">
        <f t="shared" si="16"/>
        <v>-163.90905000000001</v>
      </c>
      <c r="BB84" s="12">
        <f t="shared" si="16"/>
        <v>-168.82632150000001</v>
      </c>
      <c r="BC84" s="12">
        <f t="shared" si="16"/>
        <v>-168.82632150000001</v>
      </c>
      <c r="BD84" s="12">
        <f t="shared" si="16"/>
        <v>-168.82632150000001</v>
      </c>
      <c r="BE84" s="12">
        <f t="shared" si="16"/>
        <v>-168.82632150000001</v>
      </c>
      <c r="BF84" s="12">
        <f t="shared" si="16"/>
        <v>-168.82632150000001</v>
      </c>
      <c r="BG84" s="12">
        <f t="shared" si="16"/>
        <v>-168.82632150000001</v>
      </c>
      <c r="BH84" s="12">
        <f t="shared" si="16"/>
        <v>-168.82632150000001</v>
      </c>
      <c r="BI84" s="12">
        <f t="shared" si="16"/>
        <v>-168.82632150000001</v>
      </c>
      <c r="BJ84" s="12">
        <f t="shared" si="16"/>
        <v>-168.82632150000001</v>
      </c>
      <c r="BK84" s="12">
        <f t="shared" si="16"/>
        <v>-168.82632150000001</v>
      </c>
      <c r="BL84" s="12">
        <f t="shared" si="16"/>
        <v>-168.82632150000001</v>
      </c>
      <c r="BM84" s="12">
        <f t="shared" si="16"/>
        <v>-168.82632150000001</v>
      </c>
    </row>
    <row r="85" spans="2:65" s="1" customFormat="1" ht="10" x14ac:dyDescent="0.15">
      <c r="B85" s="12" t="str">
        <f>N48</f>
        <v>Property Management Fee</v>
      </c>
      <c r="E85" s="12">
        <f t="shared" ref="E85:AJ85" si="17">-(E83+E84)*$K$40*IF(E76&gt;$K$69,0,1)</f>
        <v>0</v>
      </c>
      <c r="F85" s="12">
        <f t="shared" si="17"/>
        <v>0</v>
      </c>
      <c r="G85" s="12">
        <f t="shared" si="17"/>
        <v>0</v>
      </c>
      <c r="H85" s="12">
        <f t="shared" si="17"/>
        <v>0</v>
      </c>
      <c r="I85" s="12">
        <f t="shared" si="17"/>
        <v>0</v>
      </c>
      <c r="J85" s="12">
        <f t="shared" si="17"/>
        <v>0</v>
      </c>
      <c r="K85" s="12">
        <f t="shared" si="17"/>
        <v>0</v>
      </c>
      <c r="L85" s="12">
        <f t="shared" si="17"/>
        <v>0</v>
      </c>
      <c r="M85" s="12">
        <f t="shared" si="17"/>
        <v>-427.5</v>
      </c>
      <c r="N85" s="12">
        <f t="shared" si="17"/>
        <v>-427.5</v>
      </c>
      <c r="O85" s="12">
        <f t="shared" si="17"/>
        <v>-427.5</v>
      </c>
      <c r="P85" s="12">
        <f t="shared" si="17"/>
        <v>-427.5</v>
      </c>
      <c r="Q85" s="12">
        <f t="shared" si="17"/>
        <v>-427.5</v>
      </c>
      <c r="R85" s="12">
        <f t="shared" si="17"/>
        <v>-440.32499999999999</v>
      </c>
      <c r="S85" s="12">
        <f t="shared" si="17"/>
        <v>-440.32499999999999</v>
      </c>
      <c r="T85" s="12">
        <f t="shared" si="17"/>
        <v>-440.32499999999999</v>
      </c>
      <c r="U85" s="12">
        <f t="shared" si="17"/>
        <v>-440.32499999999999</v>
      </c>
      <c r="V85" s="12">
        <f t="shared" si="17"/>
        <v>-440.32499999999999</v>
      </c>
      <c r="W85" s="12">
        <f t="shared" si="17"/>
        <v>-440.32499999999999</v>
      </c>
      <c r="X85" s="12">
        <f t="shared" si="17"/>
        <v>-440.32499999999999</v>
      </c>
      <c r="Y85" s="12">
        <f t="shared" si="17"/>
        <v>-440.32499999999999</v>
      </c>
      <c r="Z85" s="12">
        <f t="shared" si="17"/>
        <v>-440.32499999999999</v>
      </c>
      <c r="AA85" s="12">
        <f t="shared" si="17"/>
        <v>-440.32499999999999</v>
      </c>
      <c r="AB85" s="12">
        <f t="shared" si="17"/>
        <v>-440.32499999999999</v>
      </c>
      <c r="AC85" s="12">
        <f t="shared" si="17"/>
        <v>-440.32499999999999</v>
      </c>
      <c r="AD85" s="12">
        <f t="shared" si="17"/>
        <v>-453.53474999999992</v>
      </c>
      <c r="AE85" s="12">
        <f t="shared" si="17"/>
        <v>-453.53474999999992</v>
      </c>
      <c r="AF85" s="12">
        <f t="shared" si="17"/>
        <v>-453.53474999999992</v>
      </c>
      <c r="AG85" s="12">
        <f t="shared" si="17"/>
        <v>-453.53474999999992</v>
      </c>
      <c r="AH85" s="12">
        <f t="shared" si="17"/>
        <v>-453.53474999999992</v>
      </c>
      <c r="AI85" s="12">
        <f t="shared" si="17"/>
        <v>-453.53474999999992</v>
      </c>
      <c r="AJ85" s="12">
        <f t="shared" si="17"/>
        <v>-453.53474999999992</v>
      </c>
      <c r="AK85" s="12">
        <f t="shared" ref="AK85:BM85" si="18">-(AK83+AK84)*$K$40*IF(AK76&gt;$K$69,0,1)</f>
        <v>-453.53474999999992</v>
      </c>
      <c r="AL85" s="12">
        <f t="shared" si="18"/>
        <v>-453.53474999999992</v>
      </c>
      <c r="AM85" s="12">
        <f t="shared" si="18"/>
        <v>-453.53474999999992</v>
      </c>
      <c r="AN85" s="12">
        <f t="shared" si="18"/>
        <v>-453.53474999999992</v>
      </c>
      <c r="AO85" s="12">
        <f t="shared" si="18"/>
        <v>-453.53474999999992</v>
      </c>
      <c r="AP85" s="12">
        <f t="shared" si="18"/>
        <v>-467.14079249999998</v>
      </c>
      <c r="AQ85" s="12">
        <f t="shared" si="18"/>
        <v>-467.14079249999998</v>
      </c>
      <c r="AR85" s="12">
        <f t="shared" si="18"/>
        <v>-467.14079249999998</v>
      </c>
      <c r="AS85" s="12">
        <f t="shared" si="18"/>
        <v>-467.14079249999998</v>
      </c>
      <c r="AT85" s="12">
        <f t="shared" si="18"/>
        <v>-467.14079249999998</v>
      </c>
      <c r="AU85" s="12">
        <f t="shared" si="18"/>
        <v>-467.14079249999998</v>
      </c>
      <c r="AV85" s="12">
        <f t="shared" si="18"/>
        <v>-467.14079249999998</v>
      </c>
      <c r="AW85" s="12">
        <f t="shared" si="18"/>
        <v>-467.14079249999998</v>
      </c>
      <c r="AX85" s="12">
        <f t="shared" si="18"/>
        <v>-467.14079249999998</v>
      </c>
      <c r="AY85" s="12">
        <f t="shared" si="18"/>
        <v>-467.14079249999998</v>
      </c>
      <c r="AZ85" s="12">
        <f t="shared" si="18"/>
        <v>-467.14079249999998</v>
      </c>
      <c r="BA85" s="12">
        <f t="shared" si="18"/>
        <v>-467.14079249999998</v>
      </c>
      <c r="BB85" s="12">
        <f t="shared" si="18"/>
        <v>-481.15501627499992</v>
      </c>
      <c r="BC85" s="12">
        <f t="shared" si="18"/>
        <v>-481.15501627499992</v>
      </c>
      <c r="BD85" s="12">
        <f t="shared" si="18"/>
        <v>-481.15501627499992</v>
      </c>
      <c r="BE85" s="12">
        <f t="shared" si="18"/>
        <v>-481.15501627499992</v>
      </c>
      <c r="BF85" s="12">
        <f t="shared" si="18"/>
        <v>-481.15501627499992</v>
      </c>
      <c r="BG85" s="12">
        <f t="shared" si="18"/>
        <v>-481.15501627499992</v>
      </c>
      <c r="BH85" s="12">
        <f t="shared" si="18"/>
        <v>-481.15501627499992</v>
      </c>
      <c r="BI85" s="12">
        <f t="shared" si="18"/>
        <v>-481.15501627499992</v>
      </c>
      <c r="BJ85" s="12">
        <f t="shared" si="18"/>
        <v>-481.15501627499992</v>
      </c>
      <c r="BK85" s="12">
        <f t="shared" si="18"/>
        <v>-481.15501627499992</v>
      </c>
      <c r="BL85" s="12">
        <f t="shared" si="18"/>
        <v>-481.15501627499992</v>
      </c>
      <c r="BM85" s="12">
        <f t="shared" si="18"/>
        <v>-481.15501627499992</v>
      </c>
    </row>
    <row r="86" spans="2:65" s="1" customFormat="1" ht="10" x14ac:dyDescent="0.15">
      <c r="B86" s="12" t="str">
        <f t="shared" si="14"/>
        <v>Service charge</v>
      </c>
      <c r="E86" s="12"/>
      <c r="F86" s="12">
        <f t="shared" ref="F86:AK86" si="19">-$K41*IF(F76&gt;$K$69,0,1)*(1+$L$49)^(-1+F75)</f>
        <v>-400</v>
      </c>
      <c r="G86" s="12">
        <f t="shared" si="19"/>
        <v>-400</v>
      </c>
      <c r="H86" s="12">
        <f t="shared" si="19"/>
        <v>-400</v>
      </c>
      <c r="I86" s="12">
        <f t="shared" si="19"/>
        <v>-400</v>
      </c>
      <c r="J86" s="12">
        <f t="shared" si="19"/>
        <v>-400</v>
      </c>
      <c r="K86" s="12">
        <f t="shared" si="19"/>
        <v>-400</v>
      </c>
      <c r="L86" s="12">
        <f t="shared" si="19"/>
        <v>-400</v>
      </c>
      <c r="M86" s="12">
        <f t="shared" si="19"/>
        <v>-400</v>
      </c>
      <c r="N86" s="12">
        <f t="shared" si="19"/>
        <v>-400</v>
      </c>
      <c r="O86" s="12">
        <f t="shared" si="19"/>
        <v>-400</v>
      </c>
      <c r="P86" s="12">
        <f t="shared" si="19"/>
        <v>-400</v>
      </c>
      <c r="Q86" s="12">
        <f t="shared" si="19"/>
        <v>-400</v>
      </c>
      <c r="R86" s="12">
        <f t="shared" si="19"/>
        <v>-412</v>
      </c>
      <c r="S86" s="12">
        <f t="shared" si="19"/>
        <v>-412</v>
      </c>
      <c r="T86" s="12">
        <f t="shared" si="19"/>
        <v>-412</v>
      </c>
      <c r="U86" s="12">
        <f t="shared" si="19"/>
        <v>-412</v>
      </c>
      <c r="V86" s="12">
        <f t="shared" si="19"/>
        <v>-412</v>
      </c>
      <c r="W86" s="12">
        <f t="shared" si="19"/>
        <v>-412</v>
      </c>
      <c r="X86" s="12">
        <f t="shared" si="19"/>
        <v>-412</v>
      </c>
      <c r="Y86" s="12">
        <f t="shared" si="19"/>
        <v>-412</v>
      </c>
      <c r="Z86" s="12">
        <f t="shared" si="19"/>
        <v>-412</v>
      </c>
      <c r="AA86" s="12">
        <f t="shared" si="19"/>
        <v>-412</v>
      </c>
      <c r="AB86" s="12">
        <f t="shared" si="19"/>
        <v>-412</v>
      </c>
      <c r="AC86" s="12">
        <f t="shared" si="19"/>
        <v>-412</v>
      </c>
      <c r="AD86" s="12">
        <f t="shared" si="19"/>
        <v>-424.35999999999996</v>
      </c>
      <c r="AE86" s="12">
        <f t="shared" si="19"/>
        <v>-424.35999999999996</v>
      </c>
      <c r="AF86" s="12">
        <f t="shared" si="19"/>
        <v>-424.35999999999996</v>
      </c>
      <c r="AG86" s="12">
        <f t="shared" si="19"/>
        <v>-424.35999999999996</v>
      </c>
      <c r="AH86" s="12">
        <f t="shared" si="19"/>
        <v>-424.35999999999996</v>
      </c>
      <c r="AI86" s="12">
        <f t="shared" si="19"/>
        <v>-424.35999999999996</v>
      </c>
      <c r="AJ86" s="12">
        <f t="shared" si="19"/>
        <v>-424.35999999999996</v>
      </c>
      <c r="AK86" s="12">
        <f t="shared" si="19"/>
        <v>-424.35999999999996</v>
      </c>
      <c r="AL86" s="12">
        <f t="shared" ref="AL86:BM86" si="20">-$K41*IF(AL76&gt;$K$69,0,1)*(1+$L$49)^(-1+AL75)</f>
        <v>-424.35999999999996</v>
      </c>
      <c r="AM86" s="12">
        <f t="shared" si="20"/>
        <v>-424.35999999999996</v>
      </c>
      <c r="AN86" s="12">
        <f t="shared" si="20"/>
        <v>-424.35999999999996</v>
      </c>
      <c r="AO86" s="12">
        <f t="shared" si="20"/>
        <v>-424.35999999999996</v>
      </c>
      <c r="AP86" s="12">
        <f t="shared" si="20"/>
        <v>-437.0908</v>
      </c>
      <c r="AQ86" s="12">
        <f t="shared" si="20"/>
        <v>-437.0908</v>
      </c>
      <c r="AR86" s="12">
        <f t="shared" si="20"/>
        <v>-437.0908</v>
      </c>
      <c r="AS86" s="12">
        <f t="shared" si="20"/>
        <v>-437.0908</v>
      </c>
      <c r="AT86" s="12">
        <f t="shared" si="20"/>
        <v>-437.0908</v>
      </c>
      <c r="AU86" s="12">
        <f t="shared" si="20"/>
        <v>-437.0908</v>
      </c>
      <c r="AV86" s="12">
        <f t="shared" si="20"/>
        <v>-437.0908</v>
      </c>
      <c r="AW86" s="12">
        <f t="shared" si="20"/>
        <v>-437.0908</v>
      </c>
      <c r="AX86" s="12">
        <f t="shared" si="20"/>
        <v>-437.0908</v>
      </c>
      <c r="AY86" s="12">
        <f t="shared" si="20"/>
        <v>-437.0908</v>
      </c>
      <c r="AZ86" s="12">
        <f t="shared" si="20"/>
        <v>-437.0908</v>
      </c>
      <c r="BA86" s="12">
        <f t="shared" si="20"/>
        <v>-437.0908</v>
      </c>
      <c r="BB86" s="12">
        <f t="shared" si="20"/>
        <v>-450.20352399999996</v>
      </c>
      <c r="BC86" s="12">
        <f t="shared" si="20"/>
        <v>-450.20352399999996</v>
      </c>
      <c r="BD86" s="12">
        <f t="shared" si="20"/>
        <v>-450.20352399999996</v>
      </c>
      <c r="BE86" s="12">
        <f t="shared" si="20"/>
        <v>-450.20352399999996</v>
      </c>
      <c r="BF86" s="12">
        <f t="shared" si="20"/>
        <v>-450.20352399999996</v>
      </c>
      <c r="BG86" s="12">
        <f t="shared" si="20"/>
        <v>-450.20352399999996</v>
      </c>
      <c r="BH86" s="12">
        <f t="shared" si="20"/>
        <v>-450.20352399999996</v>
      </c>
      <c r="BI86" s="12">
        <f t="shared" si="20"/>
        <v>-450.20352399999996</v>
      </c>
      <c r="BJ86" s="12">
        <f t="shared" si="20"/>
        <v>-450.20352399999996</v>
      </c>
      <c r="BK86" s="12">
        <f t="shared" si="20"/>
        <v>-450.20352399999996</v>
      </c>
      <c r="BL86" s="12">
        <f t="shared" si="20"/>
        <v>-450.20352399999996</v>
      </c>
      <c r="BM86" s="12">
        <f t="shared" si="20"/>
        <v>-450.20352399999996</v>
      </c>
    </row>
    <row r="87" spans="2:65" s="1" customFormat="1" ht="10" x14ac:dyDescent="0.15">
      <c r="B87" s="12" t="str">
        <f t="shared" si="14"/>
        <v>Ground rent</v>
      </c>
      <c r="E87" s="12"/>
      <c r="F87" s="12">
        <f t="shared" ref="F87:AK87" si="21">-$K42*IF(F76&gt;$K$69,0,1)*(1+$L$49)^(-1+F75)</f>
        <v>-100</v>
      </c>
      <c r="G87" s="12">
        <f t="shared" si="21"/>
        <v>-100</v>
      </c>
      <c r="H87" s="12">
        <f t="shared" si="21"/>
        <v>-100</v>
      </c>
      <c r="I87" s="12">
        <f t="shared" si="21"/>
        <v>-100</v>
      </c>
      <c r="J87" s="12">
        <f t="shared" si="21"/>
        <v>-100</v>
      </c>
      <c r="K87" s="12">
        <f t="shared" si="21"/>
        <v>-100</v>
      </c>
      <c r="L87" s="12">
        <f t="shared" si="21"/>
        <v>-100</v>
      </c>
      <c r="M87" s="12">
        <f t="shared" si="21"/>
        <v>-100</v>
      </c>
      <c r="N87" s="12">
        <f t="shared" si="21"/>
        <v>-100</v>
      </c>
      <c r="O87" s="12">
        <f t="shared" si="21"/>
        <v>-100</v>
      </c>
      <c r="P87" s="12">
        <f t="shared" si="21"/>
        <v>-100</v>
      </c>
      <c r="Q87" s="12">
        <f t="shared" si="21"/>
        <v>-100</v>
      </c>
      <c r="R87" s="12">
        <f t="shared" si="21"/>
        <v>-103</v>
      </c>
      <c r="S87" s="12">
        <f t="shared" si="21"/>
        <v>-103</v>
      </c>
      <c r="T87" s="12">
        <f t="shared" si="21"/>
        <v>-103</v>
      </c>
      <c r="U87" s="12">
        <f t="shared" si="21"/>
        <v>-103</v>
      </c>
      <c r="V87" s="12">
        <f t="shared" si="21"/>
        <v>-103</v>
      </c>
      <c r="W87" s="12">
        <f t="shared" si="21"/>
        <v>-103</v>
      </c>
      <c r="X87" s="12">
        <f t="shared" si="21"/>
        <v>-103</v>
      </c>
      <c r="Y87" s="12">
        <f t="shared" si="21"/>
        <v>-103</v>
      </c>
      <c r="Z87" s="12">
        <f t="shared" si="21"/>
        <v>-103</v>
      </c>
      <c r="AA87" s="12">
        <f t="shared" si="21"/>
        <v>-103</v>
      </c>
      <c r="AB87" s="12">
        <f t="shared" si="21"/>
        <v>-103</v>
      </c>
      <c r="AC87" s="12">
        <f t="shared" si="21"/>
        <v>-103</v>
      </c>
      <c r="AD87" s="12">
        <f t="shared" si="21"/>
        <v>-106.08999999999999</v>
      </c>
      <c r="AE87" s="12">
        <f t="shared" si="21"/>
        <v>-106.08999999999999</v>
      </c>
      <c r="AF87" s="12">
        <f t="shared" si="21"/>
        <v>-106.08999999999999</v>
      </c>
      <c r="AG87" s="12">
        <f t="shared" si="21"/>
        <v>-106.08999999999999</v>
      </c>
      <c r="AH87" s="12">
        <f t="shared" si="21"/>
        <v>-106.08999999999999</v>
      </c>
      <c r="AI87" s="12">
        <f t="shared" si="21"/>
        <v>-106.08999999999999</v>
      </c>
      <c r="AJ87" s="12">
        <f t="shared" si="21"/>
        <v>-106.08999999999999</v>
      </c>
      <c r="AK87" s="12">
        <f t="shared" si="21"/>
        <v>-106.08999999999999</v>
      </c>
      <c r="AL87" s="12">
        <f t="shared" ref="AL87:BM87" si="22">-$K42*IF(AL76&gt;$K$69,0,1)*(1+$L$49)^(-1+AL75)</f>
        <v>-106.08999999999999</v>
      </c>
      <c r="AM87" s="12">
        <f t="shared" si="22"/>
        <v>-106.08999999999999</v>
      </c>
      <c r="AN87" s="12">
        <f t="shared" si="22"/>
        <v>-106.08999999999999</v>
      </c>
      <c r="AO87" s="12">
        <f t="shared" si="22"/>
        <v>-106.08999999999999</v>
      </c>
      <c r="AP87" s="12">
        <f t="shared" si="22"/>
        <v>-109.2727</v>
      </c>
      <c r="AQ87" s="12">
        <f t="shared" si="22"/>
        <v>-109.2727</v>
      </c>
      <c r="AR87" s="12">
        <f t="shared" si="22"/>
        <v>-109.2727</v>
      </c>
      <c r="AS87" s="12">
        <f t="shared" si="22"/>
        <v>-109.2727</v>
      </c>
      <c r="AT87" s="12">
        <f t="shared" si="22"/>
        <v>-109.2727</v>
      </c>
      <c r="AU87" s="12">
        <f t="shared" si="22"/>
        <v>-109.2727</v>
      </c>
      <c r="AV87" s="12">
        <f t="shared" si="22"/>
        <v>-109.2727</v>
      </c>
      <c r="AW87" s="12">
        <f t="shared" si="22"/>
        <v>-109.2727</v>
      </c>
      <c r="AX87" s="12">
        <f t="shared" si="22"/>
        <v>-109.2727</v>
      </c>
      <c r="AY87" s="12">
        <f t="shared" si="22"/>
        <v>-109.2727</v>
      </c>
      <c r="AZ87" s="12">
        <f t="shared" si="22"/>
        <v>-109.2727</v>
      </c>
      <c r="BA87" s="12">
        <f t="shared" si="22"/>
        <v>-109.2727</v>
      </c>
      <c r="BB87" s="12">
        <f t="shared" si="22"/>
        <v>-112.55088099999999</v>
      </c>
      <c r="BC87" s="12">
        <f t="shared" si="22"/>
        <v>-112.55088099999999</v>
      </c>
      <c r="BD87" s="12">
        <f t="shared" si="22"/>
        <v>-112.55088099999999</v>
      </c>
      <c r="BE87" s="12">
        <f t="shared" si="22"/>
        <v>-112.55088099999999</v>
      </c>
      <c r="BF87" s="12">
        <f t="shared" si="22"/>
        <v>-112.55088099999999</v>
      </c>
      <c r="BG87" s="12">
        <f t="shared" si="22"/>
        <v>-112.55088099999999</v>
      </c>
      <c r="BH87" s="12">
        <f t="shared" si="22"/>
        <v>-112.55088099999999</v>
      </c>
      <c r="BI87" s="12">
        <f t="shared" si="22"/>
        <v>-112.55088099999999</v>
      </c>
      <c r="BJ87" s="12">
        <f t="shared" si="22"/>
        <v>-112.55088099999999</v>
      </c>
      <c r="BK87" s="12">
        <f t="shared" si="22"/>
        <v>-112.55088099999999</v>
      </c>
      <c r="BL87" s="12">
        <f t="shared" si="22"/>
        <v>-112.55088099999999</v>
      </c>
      <c r="BM87" s="12">
        <f t="shared" si="22"/>
        <v>-112.55088099999999</v>
      </c>
    </row>
    <row r="88" spans="2:65" s="1" customFormat="1" ht="10" x14ac:dyDescent="0.15">
      <c r="B88" s="12" t="str">
        <f t="shared" si="14"/>
        <v>Insurance</v>
      </c>
      <c r="F88" s="12">
        <f t="shared" ref="F88:AK88" si="23">-$K43*IF(F76&gt;$K$69,0,1)*(1+$L$49)^(-1+F75)</f>
        <v>-150</v>
      </c>
      <c r="G88" s="12">
        <f t="shared" si="23"/>
        <v>-150</v>
      </c>
      <c r="H88" s="12">
        <f t="shared" si="23"/>
        <v>-150</v>
      </c>
      <c r="I88" s="12">
        <f t="shared" si="23"/>
        <v>-150</v>
      </c>
      <c r="J88" s="12">
        <f t="shared" si="23"/>
        <v>-150</v>
      </c>
      <c r="K88" s="12">
        <f t="shared" si="23"/>
        <v>-150</v>
      </c>
      <c r="L88" s="12">
        <f t="shared" si="23"/>
        <v>-150</v>
      </c>
      <c r="M88" s="12">
        <f t="shared" si="23"/>
        <v>-150</v>
      </c>
      <c r="N88" s="12">
        <f t="shared" si="23"/>
        <v>-150</v>
      </c>
      <c r="O88" s="12">
        <f t="shared" si="23"/>
        <v>-150</v>
      </c>
      <c r="P88" s="12">
        <f t="shared" si="23"/>
        <v>-150</v>
      </c>
      <c r="Q88" s="12">
        <f t="shared" si="23"/>
        <v>-150</v>
      </c>
      <c r="R88" s="12">
        <f t="shared" si="23"/>
        <v>-154.5</v>
      </c>
      <c r="S88" s="12">
        <f t="shared" si="23"/>
        <v>-154.5</v>
      </c>
      <c r="T88" s="12">
        <f t="shared" si="23"/>
        <v>-154.5</v>
      </c>
      <c r="U88" s="12">
        <f t="shared" si="23"/>
        <v>-154.5</v>
      </c>
      <c r="V88" s="12">
        <f t="shared" si="23"/>
        <v>-154.5</v>
      </c>
      <c r="W88" s="12">
        <f t="shared" si="23"/>
        <v>-154.5</v>
      </c>
      <c r="X88" s="12">
        <f t="shared" si="23"/>
        <v>-154.5</v>
      </c>
      <c r="Y88" s="12">
        <f t="shared" si="23"/>
        <v>-154.5</v>
      </c>
      <c r="Z88" s="12">
        <f t="shared" si="23"/>
        <v>-154.5</v>
      </c>
      <c r="AA88" s="12">
        <f t="shared" si="23"/>
        <v>-154.5</v>
      </c>
      <c r="AB88" s="12">
        <f t="shared" si="23"/>
        <v>-154.5</v>
      </c>
      <c r="AC88" s="12">
        <f t="shared" si="23"/>
        <v>-154.5</v>
      </c>
      <c r="AD88" s="12">
        <f t="shared" si="23"/>
        <v>-159.13499999999999</v>
      </c>
      <c r="AE88" s="12">
        <f t="shared" si="23"/>
        <v>-159.13499999999999</v>
      </c>
      <c r="AF88" s="12">
        <f t="shared" si="23"/>
        <v>-159.13499999999999</v>
      </c>
      <c r="AG88" s="12">
        <f t="shared" si="23"/>
        <v>-159.13499999999999</v>
      </c>
      <c r="AH88" s="12">
        <f t="shared" si="23"/>
        <v>-159.13499999999999</v>
      </c>
      <c r="AI88" s="12">
        <f t="shared" si="23"/>
        <v>-159.13499999999999</v>
      </c>
      <c r="AJ88" s="12">
        <f t="shared" si="23"/>
        <v>-159.13499999999999</v>
      </c>
      <c r="AK88" s="12">
        <f t="shared" si="23"/>
        <v>-159.13499999999999</v>
      </c>
      <c r="AL88" s="12">
        <f t="shared" ref="AL88:BM88" si="24">-$K43*IF(AL76&gt;$K$69,0,1)*(1+$L$49)^(-1+AL75)</f>
        <v>-159.13499999999999</v>
      </c>
      <c r="AM88" s="12">
        <f t="shared" si="24"/>
        <v>-159.13499999999999</v>
      </c>
      <c r="AN88" s="12">
        <f t="shared" si="24"/>
        <v>-159.13499999999999</v>
      </c>
      <c r="AO88" s="12">
        <f t="shared" si="24"/>
        <v>-159.13499999999999</v>
      </c>
      <c r="AP88" s="12">
        <f t="shared" si="24"/>
        <v>-163.90905000000001</v>
      </c>
      <c r="AQ88" s="12">
        <f t="shared" si="24"/>
        <v>-163.90905000000001</v>
      </c>
      <c r="AR88" s="12">
        <f t="shared" si="24"/>
        <v>-163.90905000000001</v>
      </c>
      <c r="AS88" s="12">
        <f t="shared" si="24"/>
        <v>-163.90905000000001</v>
      </c>
      <c r="AT88" s="12">
        <f t="shared" si="24"/>
        <v>-163.90905000000001</v>
      </c>
      <c r="AU88" s="12">
        <f t="shared" si="24"/>
        <v>-163.90905000000001</v>
      </c>
      <c r="AV88" s="12">
        <f t="shared" si="24"/>
        <v>-163.90905000000001</v>
      </c>
      <c r="AW88" s="12">
        <f t="shared" si="24"/>
        <v>-163.90905000000001</v>
      </c>
      <c r="AX88" s="12">
        <f t="shared" si="24"/>
        <v>-163.90905000000001</v>
      </c>
      <c r="AY88" s="12">
        <f t="shared" si="24"/>
        <v>-163.90905000000001</v>
      </c>
      <c r="AZ88" s="12">
        <f t="shared" si="24"/>
        <v>-163.90905000000001</v>
      </c>
      <c r="BA88" s="12">
        <f t="shared" si="24"/>
        <v>-163.90905000000001</v>
      </c>
      <c r="BB88" s="12">
        <f t="shared" si="24"/>
        <v>-168.82632149999998</v>
      </c>
      <c r="BC88" s="12">
        <f t="shared" si="24"/>
        <v>-168.82632149999998</v>
      </c>
      <c r="BD88" s="12">
        <f t="shared" si="24"/>
        <v>-168.82632149999998</v>
      </c>
      <c r="BE88" s="12">
        <f t="shared" si="24"/>
        <v>-168.82632149999998</v>
      </c>
      <c r="BF88" s="12">
        <f t="shared" si="24"/>
        <v>-168.82632149999998</v>
      </c>
      <c r="BG88" s="12">
        <f t="shared" si="24"/>
        <v>-168.82632149999998</v>
      </c>
      <c r="BH88" s="12">
        <f t="shared" si="24"/>
        <v>-168.82632149999998</v>
      </c>
      <c r="BI88" s="12">
        <f t="shared" si="24"/>
        <v>-168.82632149999998</v>
      </c>
      <c r="BJ88" s="12">
        <f t="shared" si="24"/>
        <v>-168.82632149999998</v>
      </c>
      <c r="BK88" s="12">
        <f t="shared" si="24"/>
        <v>-168.82632149999998</v>
      </c>
      <c r="BL88" s="12">
        <f t="shared" si="24"/>
        <v>-168.82632149999998</v>
      </c>
      <c r="BM88" s="12">
        <f t="shared" si="24"/>
        <v>-168.82632149999998</v>
      </c>
    </row>
    <row r="89" spans="2:65" s="1" customFormat="1" ht="10" x14ac:dyDescent="0.15">
      <c r="B89" s="12" t="str">
        <f t="shared" si="14"/>
        <v>Council tax</v>
      </c>
      <c r="E89" s="12"/>
      <c r="F89" s="12">
        <f t="shared" ref="F89:AK89" si="25">-$K44*IF(F76&gt;$K$69,0,1)*(1+$L$49)^(-1+F75)</f>
        <v>-150</v>
      </c>
      <c r="G89" s="12">
        <f t="shared" si="25"/>
        <v>-150</v>
      </c>
      <c r="H89" s="12">
        <f t="shared" si="25"/>
        <v>-150</v>
      </c>
      <c r="I89" s="12">
        <f t="shared" si="25"/>
        <v>-150</v>
      </c>
      <c r="J89" s="12">
        <f t="shared" si="25"/>
        <v>-150</v>
      </c>
      <c r="K89" s="12">
        <f t="shared" si="25"/>
        <v>-150</v>
      </c>
      <c r="L89" s="12">
        <f t="shared" si="25"/>
        <v>-150</v>
      </c>
      <c r="M89" s="12">
        <f t="shared" si="25"/>
        <v>-150</v>
      </c>
      <c r="N89" s="12">
        <f t="shared" si="25"/>
        <v>-150</v>
      </c>
      <c r="O89" s="12">
        <f t="shared" si="25"/>
        <v>-150</v>
      </c>
      <c r="P89" s="12">
        <f t="shared" si="25"/>
        <v>-150</v>
      </c>
      <c r="Q89" s="12">
        <f t="shared" si="25"/>
        <v>-150</v>
      </c>
      <c r="R89" s="12">
        <f t="shared" si="25"/>
        <v>-154.5</v>
      </c>
      <c r="S89" s="12">
        <f t="shared" si="25"/>
        <v>-154.5</v>
      </c>
      <c r="T89" s="12">
        <f t="shared" si="25"/>
        <v>-154.5</v>
      </c>
      <c r="U89" s="12">
        <f t="shared" si="25"/>
        <v>-154.5</v>
      </c>
      <c r="V89" s="12">
        <f t="shared" si="25"/>
        <v>-154.5</v>
      </c>
      <c r="W89" s="12">
        <f t="shared" si="25"/>
        <v>-154.5</v>
      </c>
      <c r="X89" s="12">
        <f t="shared" si="25"/>
        <v>-154.5</v>
      </c>
      <c r="Y89" s="12">
        <f t="shared" si="25"/>
        <v>-154.5</v>
      </c>
      <c r="Z89" s="12">
        <f t="shared" si="25"/>
        <v>-154.5</v>
      </c>
      <c r="AA89" s="12">
        <f t="shared" si="25"/>
        <v>-154.5</v>
      </c>
      <c r="AB89" s="12">
        <f t="shared" si="25"/>
        <v>-154.5</v>
      </c>
      <c r="AC89" s="12">
        <f t="shared" si="25"/>
        <v>-154.5</v>
      </c>
      <c r="AD89" s="12">
        <f t="shared" si="25"/>
        <v>-159.13499999999999</v>
      </c>
      <c r="AE89" s="12">
        <f t="shared" si="25"/>
        <v>-159.13499999999999</v>
      </c>
      <c r="AF89" s="12">
        <f t="shared" si="25"/>
        <v>-159.13499999999999</v>
      </c>
      <c r="AG89" s="12">
        <f t="shared" si="25"/>
        <v>-159.13499999999999</v>
      </c>
      <c r="AH89" s="12">
        <f t="shared" si="25"/>
        <v>-159.13499999999999</v>
      </c>
      <c r="AI89" s="12">
        <f t="shared" si="25"/>
        <v>-159.13499999999999</v>
      </c>
      <c r="AJ89" s="12">
        <f t="shared" si="25"/>
        <v>-159.13499999999999</v>
      </c>
      <c r="AK89" s="12">
        <f t="shared" si="25"/>
        <v>-159.13499999999999</v>
      </c>
      <c r="AL89" s="12">
        <f t="shared" ref="AL89:BM89" si="26">-$K44*IF(AL76&gt;$K$69,0,1)*(1+$L$49)^(-1+AL75)</f>
        <v>-159.13499999999999</v>
      </c>
      <c r="AM89" s="12">
        <f t="shared" si="26"/>
        <v>-159.13499999999999</v>
      </c>
      <c r="AN89" s="12">
        <f t="shared" si="26"/>
        <v>-159.13499999999999</v>
      </c>
      <c r="AO89" s="12">
        <f t="shared" si="26"/>
        <v>-159.13499999999999</v>
      </c>
      <c r="AP89" s="12">
        <f t="shared" si="26"/>
        <v>-163.90905000000001</v>
      </c>
      <c r="AQ89" s="12">
        <f t="shared" si="26"/>
        <v>-163.90905000000001</v>
      </c>
      <c r="AR89" s="12">
        <f t="shared" si="26"/>
        <v>-163.90905000000001</v>
      </c>
      <c r="AS89" s="12">
        <f t="shared" si="26"/>
        <v>-163.90905000000001</v>
      </c>
      <c r="AT89" s="12">
        <f t="shared" si="26"/>
        <v>-163.90905000000001</v>
      </c>
      <c r="AU89" s="12">
        <f t="shared" si="26"/>
        <v>-163.90905000000001</v>
      </c>
      <c r="AV89" s="12">
        <f t="shared" si="26"/>
        <v>-163.90905000000001</v>
      </c>
      <c r="AW89" s="12">
        <f t="shared" si="26"/>
        <v>-163.90905000000001</v>
      </c>
      <c r="AX89" s="12">
        <f t="shared" si="26"/>
        <v>-163.90905000000001</v>
      </c>
      <c r="AY89" s="12">
        <f t="shared" si="26"/>
        <v>-163.90905000000001</v>
      </c>
      <c r="AZ89" s="12">
        <f t="shared" si="26"/>
        <v>-163.90905000000001</v>
      </c>
      <c r="BA89" s="12">
        <f t="shared" si="26"/>
        <v>-163.90905000000001</v>
      </c>
      <c r="BB89" s="12">
        <f t="shared" si="26"/>
        <v>-168.82632149999998</v>
      </c>
      <c r="BC89" s="12">
        <f t="shared" si="26"/>
        <v>-168.82632149999998</v>
      </c>
      <c r="BD89" s="12">
        <f t="shared" si="26"/>
        <v>-168.82632149999998</v>
      </c>
      <c r="BE89" s="12">
        <f t="shared" si="26"/>
        <v>-168.82632149999998</v>
      </c>
      <c r="BF89" s="12">
        <f t="shared" si="26"/>
        <v>-168.82632149999998</v>
      </c>
      <c r="BG89" s="12">
        <f t="shared" si="26"/>
        <v>-168.82632149999998</v>
      </c>
      <c r="BH89" s="12">
        <f t="shared" si="26"/>
        <v>-168.82632149999998</v>
      </c>
      <c r="BI89" s="12">
        <f t="shared" si="26"/>
        <v>-168.82632149999998</v>
      </c>
      <c r="BJ89" s="12">
        <f t="shared" si="26"/>
        <v>-168.82632149999998</v>
      </c>
      <c r="BK89" s="12">
        <f t="shared" si="26"/>
        <v>-168.82632149999998</v>
      </c>
      <c r="BL89" s="12">
        <f t="shared" si="26"/>
        <v>-168.82632149999998</v>
      </c>
      <c r="BM89" s="12">
        <f t="shared" si="26"/>
        <v>-168.82632149999998</v>
      </c>
    </row>
    <row r="90" spans="2:65" s="1" customFormat="1" ht="10" x14ac:dyDescent="0.15">
      <c r="B90" s="12" t="str">
        <f t="shared" si="14"/>
        <v>Other (pcm / p.a.)</v>
      </c>
      <c r="E90" s="12"/>
      <c r="F90" s="12">
        <f>IF(COUNT($F$77:F77)&gt;$F$64,-$K45,0)*IF(F$76&gt;$K$69,0,1)*(1+$L$49)^(-1+F$75)</f>
        <v>0</v>
      </c>
      <c r="G90" s="12">
        <f>IF(COUNT($F$77:G77)&gt;$F$64,-$K45,0)*IF(G$76&gt;$K$69,0,1)*(1+$L$49)^(-1+G$75)</f>
        <v>0</v>
      </c>
      <c r="H90" s="12">
        <f>IF(COUNT($F$77:H77)&gt;$F$64,-$K45,0)*IF(H$76&gt;$K$69,0,1)*(1+$L$49)^(-1+H$75)</f>
        <v>0</v>
      </c>
      <c r="I90" s="12">
        <f>IF(COUNT($F$77:I77)&gt;$F$64,-$K45,0)*IF(I$76&gt;$K$69,0,1)*(1+$L$49)^(-1+I$75)</f>
        <v>0</v>
      </c>
      <c r="J90" s="12">
        <f>IF(COUNT($F$77:J77)&gt;$F$64,-$K45,0)*IF(J$76&gt;$K$69,0,1)*(1+$L$49)^(-1+J$75)</f>
        <v>0</v>
      </c>
      <c r="K90" s="12">
        <f>IF(COUNT($F$77:K77)&gt;$F$64,-$K45,0)*IF(K$76&gt;$K$69,0,1)*(1+$L$49)^(-1+K$75)</f>
        <v>0</v>
      </c>
      <c r="L90" s="12">
        <f>IF(COUNT($F$77:L77)&gt;$F$64,-$K45,0)*IF(L$76&gt;$K$69,0,1)*(1+$L$49)^(-1+L$75)</f>
        <v>0</v>
      </c>
      <c r="M90" s="12">
        <f>IF(COUNT($F$77:M77)&gt;$F$64,-$K45,0)*IF(M$76&gt;$K$69,0,1)*(1+$L$49)^(-1+M$75)</f>
        <v>0</v>
      </c>
      <c r="N90" s="12">
        <f>IF(COUNT($F$77:N77)&gt;$F$64,-$K45,0)*IF(N$76&gt;$K$69,0,1)*(1+$L$49)^(-1+N$75)</f>
        <v>0</v>
      </c>
      <c r="O90" s="12">
        <f>IF(COUNT($F$77:O77)&gt;$F$64,-$K45,0)*IF(O$76&gt;$K$69,0,1)*(1+$L$49)^(-1+O$75)</f>
        <v>0</v>
      </c>
      <c r="P90" s="12">
        <f>IF(COUNT($F$77:P77)&gt;$F$64,-$K45,0)*IF(P$76&gt;$K$69,0,1)*(1+$L$49)^(-1+P$75)</f>
        <v>0</v>
      </c>
      <c r="Q90" s="12">
        <f>IF(COUNT($F$77:Q77)&gt;$F$64,-$K45,0)*IF(Q$76&gt;$K$69,0,1)*(1+$L$49)^(-1+Q$75)</f>
        <v>0</v>
      </c>
      <c r="R90" s="12">
        <f>IF(COUNT($F$77:R77)&gt;$F$64,-$K45,0)*IF(R$76&gt;$K$69,0,1)*(1+$L$49)^(-1+R$75)</f>
        <v>0</v>
      </c>
      <c r="S90" s="12">
        <f>IF(COUNT($F$77:S77)&gt;$F$64,-$K45,0)*IF(S$76&gt;$K$69,0,1)*(1+$L$49)^(-1+S$75)</f>
        <v>0</v>
      </c>
      <c r="T90" s="12">
        <f>IF(COUNT($F$77:T77)&gt;$F$64,-$K45,0)*IF(T$76&gt;$K$69,0,1)*(1+$L$49)^(-1+T$75)</f>
        <v>0</v>
      </c>
      <c r="U90" s="12">
        <f>IF(COUNT($F$77:U77)&gt;$F$64,-$K45,0)*IF(U$76&gt;$K$69,0,1)*(1+$L$49)^(-1+U$75)</f>
        <v>0</v>
      </c>
      <c r="V90" s="12">
        <f>IF(COUNT($F$77:V77)&gt;$F$64,-$K45,0)*IF(V$76&gt;$K$69,0,1)*(1+$L$49)^(-1+V$75)</f>
        <v>0</v>
      </c>
      <c r="W90" s="12">
        <f>IF(COUNT($F$77:W77)&gt;$F$64,-$K45,0)*IF(W$76&gt;$K$69,0,1)*(1+$L$49)^(-1+W$75)</f>
        <v>0</v>
      </c>
      <c r="X90" s="12">
        <f>IF(COUNT($F$77:X77)&gt;$F$64,-$K45,0)*IF(X$76&gt;$K$69,0,1)*(1+$L$49)^(-1+X$75)</f>
        <v>0</v>
      </c>
      <c r="Y90" s="12">
        <f>IF(COUNT($F$77:Y77)&gt;$F$64,-$K45,0)*IF(Y$76&gt;$K$69,0,1)*(1+$L$49)^(-1+Y$75)</f>
        <v>0</v>
      </c>
      <c r="Z90" s="12">
        <f>IF(COUNT($F$77:Z77)&gt;$F$64,-$K45,0)*IF(Z$76&gt;$K$69,0,1)*(1+$L$49)^(-1+Z$75)</f>
        <v>0</v>
      </c>
      <c r="AA90" s="12">
        <f>IF(COUNT($F$77:AA77)&gt;$F$64,-$K45,0)*IF(AA$76&gt;$K$69,0,1)*(1+$L$49)^(-1+AA$75)</f>
        <v>0</v>
      </c>
      <c r="AB90" s="12">
        <f>IF(COUNT($F$77:AB77)&gt;$F$64,-$K45,0)*IF(AB$76&gt;$K$69,0,1)*(1+$L$49)^(-1+AB$75)</f>
        <v>0</v>
      </c>
      <c r="AC90" s="12">
        <f>IF(COUNT($F$77:AC77)&gt;$F$64,-$K45,0)*IF(AC$76&gt;$K$69,0,1)*(1+$L$49)^(-1+AC$75)</f>
        <v>0</v>
      </c>
      <c r="AD90" s="12">
        <f>IF(COUNT($F$77:AD77)&gt;$F$64,-$K45,0)*IF(AD$76&gt;$K$69,0,1)*(1+$L$49)^(-1+AD$75)</f>
        <v>0</v>
      </c>
      <c r="AE90" s="12">
        <f>IF(COUNT($F$77:AE77)&gt;$F$64,-$K45,0)*IF(AE$76&gt;$K$69,0,1)*(1+$L$49)^(-1+AE$75)</f>
        <v>0</v>
      </c>
      <c r="AF90" s="12">
        <f>IF(COUNT($F$77:AF77)&gt;$F$64,-$K45,0)*IF(AF$76&gt;$K$69,0,1)*(1+$L$49)^(-1+AF$75)</f>
        <v>0</v>
      </c>
      <c r="AG90" s="12">
        <f>IF(COUNT($F$77:AG77)&gt;$F$64,-$K45,0)*IF(AG$76&gt;$K$69,0,1)*(1+$L$49)^(-1+AG$75)</f>
        <v>0</v>
      </c>
      <c r="AH90" s="12">
        <f>IF(COUNT($F$77:AH77)&gt;$F$64,-$K45,0)*IF(AH$76&gt;$K$69,0,1)*(1+$L$49)^(-1+AH$75)</f>
        <v>0</v>
      </c>
      <c r="AI90" s="12">
        <f>IF(COUNT($F$77:AI77)&gt;$F$64,-$K45,0)*IF(AI$76&gt;$K$69,0,1)*(1+$L$49)^(-1+AI$75)</f>
        <v>0</v>
      </c>
      <c r="AJ90" s="12">
        <f>IF(COUNT($F$77:AJ77)&gt;$F$64,-$K45,0)*IF(AJ$76&gt;$K$69,0,1)*(1+$L$49)^(-1+AJ$75)</f>
        <v>0</v>
      </c>
      <c r="AK90" s="12">
        <f>IF(COUNT($F$77:AK77)&gt;$F$64,-$K45,0)*IF(AK$76&gt;$K$69,0,1)*(1+$L$49)^(-1+AK$75)</f>
        <v>0</v>
      </c>
      <c r="AL90" s="12">
        <f>IF(COUNT($F$77:AL77)&gt;$F$64,-$K45,0)*IF(AL$76&gt;$K$69,0,1)*(1+$L$49)^(-1+AL$75)</f>
        <v>0</v>
      </c>
      <c r="AM90" s="12">
        <f>IF(COUNT($F$77:AM77)&gt;$F$64,-$K45,0)*IF(AM$76&gt;$K$69,0,1)*(1+$L$49)^(-1+AM$75)</f>
        <v>0</v>
      </c>
      <c r="AN90" s="12">
        <f>IF(COUNT($F$77:AN77)&gt;$F$64,-$K45,0)*IF(AN$76&gt;$K$69,0,1)*(1+$L$49)^(-1+AN$75)</f>
        <v>0</v>
      </c>
      <c r="AO90" s="12">
        <f>IF(COUNT($F$77:AO77)&gt;$F$64,-$K45,0)*IF(AO$76&gt;$K$69,0,1)*(1+$L$49)^(-1+AO$75)</f>
        <v>0</v>
      </c>
      <c r="AP90" s="12">
        <f>IF(COUNT($F$77:AP77)&gt;$F$64,-$K45,0)*IF(AP$76&gt;$K$69,0,1)*(1+$L$49)^(-1+AP$75)</f>
        <v>0</v>
      </c>
      <c r="AQ90" s="12">
        <f>IF(COUNT($F$77:AQ77)&gt;$F$64,-$K45,0)*IF(AQ$76&gt;$K$69,0,1)*(1+$L$49)^(-1+AQ$75)</f>
        <v>0</v>
      </c>
      <c r="AR90" s="12">
        <f>IF(COUNT($F$77:AR77)&gt;$F$64,-$K45,0)*IF(AR$76&gt;$K$69,0,1)*(1+$L$49)^(-1+AR$75)</f>
        <v>0</v>
      </c>
      <c r="AS90" s="12">
        <f>IF(COUNT($F$77:AS77)&gt;$F$64,-$K45,0)*IF(AS$76&gt;$K$69,0,1)*(1+$L$49)^(-1+AS$75)</f>
        <v>0</v>
      </c>
      <c r="AT90" s="12">
        <f>IF(COUNT($F$77:AT77)&gt;$F$64,-$K45,0)*IF(AT$76&gt;$K$69,0,1)*(1+$L$49)^(-1+AT$75)</f>
        <v>0</v>
      </c>
      <c r="AU90" s="12">
        <f>IF(COUNT($F$77:AU77)&gt;$F$64,-$K45,0)*IF(AU$76&gt;$K$69,0,1)*(1+$L$49)^(-1+AU$75)</f>
        <v>0</v>
      </c>
      <c r="AV90" s="12">
        <f>IF(COUNT($F$77:AV77)&gt;$F$64,-$K45,0)*IF(AV$76&gt;$K$69,0,1)*(1+$L$49)^(-1+AV$75)</f>
        <v>0</v>
      </c>
      <c r="AW90" s="12">
        <f>IF(COUNT($F$77:AW77)&gt;$F$64,-$K45,0)*IF(AW$76&gt;$K$69,0,1)*(1+$L$49)^(-1+AW$75)</f>
        <v>0</v>
      </c>
      <c r="AX90" s="12">
        <f>IF(COUNT($F$77:AX77)&gt;$F$64,-$K45,0)*IF(AX$76&gt;$K$69,0,1)*(1+$L$49)^(-1+AX$75)</f>
        <v>0</v>
      </c>
      <c r="AY90" s="12">
        <f>IF(COUNT($F$77:AY77)&gt;$F$64,-$K45,0)*IF(AY$76&gt;$K$69,0,1)*(1+$L$49)^(-1+AY$75)</f>
        <v>0</v>
      </c>
      <c r="AZ90" s="12">
        <f>IF(COUNT($F$77:AZ77)&gt;$F$64,-$K45,0)*IF(AZ$76&gt;$K$69,0,1)*(1+$L$49)^(-1+AZ$75)</f>
        <v>0</v>
      </c>
      <c r="BA90" s="12">
        <f>IF(COUNT($F$77:BA77)&gt;$F$64,-$K45,0)*IF(BA$76&gt;$K$69,0,1)*(1+$L$49)^(-1+BA$75)</f>
        <v>0</v>
      </c>
      <c r="BB90" s="12">
        <f>IF(COUNT($F$77:BB77)&gt;$F$64,-$K45,0)*IF(BB$76&gt;$K$69,0,1)*(1+$L$49)^(-1+BB$75)</f>
        <v>0</v>
      </c>
      <c r="BC90" s="12">
        <f>IF(COUNT($F$77:BC77)&gt;$F$64,-$K45,0)*IF(BC$76&gt;$K$69,0,1)*(1+$L$49)^(-1+BC$75)</f>
        <v>0</v>
      </c>
      <c r="BD90" s="12">
        <f>IF(COUNT($F$77:BD77)&gt;$F$64,-$K45,0)*IF(BD$76&gt;$K$69,0,1)*(1+$L$49)^(-1+BD$75)</f>
        <v>0</v>
      </c>
      <c r="BE90" s="12">
        <f>IF(COUNT($F$77:BE77)&gt;$F$64,-$K45,0)*IF(BE$76&gt;$K$69,0,1)*(1+$L$49)^(-1+BE$75)</f>
        <v>0</v>
      </c>
      <c r="BF90" s="12">
        <f>IF(COUNT($F$77:BF77)&gt;$F$64,-$K45,0)*IF(BF$76&gt;$K$69,0,1)*(1+$L$49)^(-1+BF$75)</f>
        <v>0</v>
      </c>
      <c r="BG90" s="12">
        <f>IF(COUNT($F$77:BG77)&gt;$F$64,-$K45,0)*IF(BG$76&gt;$K$69,0,1)*(1+$L$49)^(-1+BG$75)</f>
        <v>0</v>
      </c>
      <c r="BH90" s="12">
        <f>IF(COUNT($F$77:BH77)&gt;$F$64,-$K45,0)*IF(BH$76&gt;$K$69,0,1)*(1+$L$49)^(-1+BH$75)</f>
        <v>0</v>
      </c>
      <c r="BI90" s="12">
        <f>IF(COUNT($F$77:BI77)&gt;$F$64,-$K45,0)*IF(BI$76&gt;$K$69,0,1)*(1+$L$49)^(-1+BI$75)</f>
        <v>0</v>
      </c>
      <c r="BJ90" s="12">
        <f>IF(COUNT($F$77:BJ77)&gt;$F$64,-$K45,0)*IF(BJ$76&gt;$K$69,0,1)*(1+$L$49)^(-1+BJ$75)</f>
        <v>0</v>
      </c>
      <c r="BK90" s="12">
        <f>IF(COUNT($F$77:BK77)&gt;$F$64,-$K45,0)*IF(BK$76&gt;$K$69,0,1)*(1+$L$49)^(-1+BK$75)</f>
        <v>0</v>
      </c>
      <c r="BL90" s="12">
        <f>IF(COUNT($F$77:BL77)&gt;$F$64,-$K45,0)*IF(BL$76&gt;$K$69,0,1)*(1+$L$49)^(-1+BL$75)</f>
        <v>0</v>
      </c>
      <c r="BM90" s="12">
        <f>IF(COUNT($F$77:BM77)&gt;$F$64,-$K45,0)*IF(BM$76&gt;$K$69,0,1)*(1+$L$49)^(-1+BM$75)</f>
        <v>0</v>
      </c>
    </row>
    <row r="91" spans="2:65" s="1" customFormat="1" ht="10" x14ac:dyDescent="0.15">
      <c r="B91" s="12" t="str">
        <f t="shared" si="14"/>
        <v>Other (pcm / p.a.)</v>
      </c>
      <c r="E91" s="12"/>
      <c r="F91" s="12">
        <f>IF(COUNT($F$77:F77)&gt;$F$64,-$K46,0)*IF(F$76&gt;$K$69,0,1)*(1+$L$49)^(-1+F$75)</f>
        <v>0</v>
      </c>
      <c r="G91" s="12">
        <f>IF(COUNT($F$77:G77)&gt;$F$64,-$K46,0)*IF(G$76&gt;$K$69,0,1)*(1+$L$49)^(-1+G$75)</f>
        <v>0</v>
      </c>
      <c r="H91" s="12">
        <f>IF(COUNT($F$77:H77)&gt;$F$64,-$K46,0)*IF(H$76&gt;$K$69,0,1)*(1+$L$49)^(-1+H$75)</f>
        <v>0</v>
      </c>
      <c r="I91" s="12">
        <f>IF(COUNT($F$77:I77)&gt;$F$64,-$K46,0)*IF(I$76&gt;$K$69,0,1)*(1+$L$49)^(-1+I$75)</f>
        <v>0</v>
      </c>
      <c r="J91" s="12">
        <f>IF(COUNT($F$77:J77)&gt;$F$64,-$K46,0)*IF(J$76&gt;$K$69,0,1)*(1+$L$49)^(-1+J$75)</f>
        <v>0</v>
      </c>
      <c r="K91" s="12">
        <f>IF(COUNT($F$77:K77)&gt;$F$64,-$K46,0)*IF(K$76&gt;$K$69,0,1)*(1+$L$49)^(-1+K$75)</f>
        <v>0</v>
      </c>
      <c r="L91" s="12">
        <f>IF(COUNT($F$77:L77)&gt;$F$64,-$K46,0)*IF(L$76&gt;$K$69,0,1)*(1+$L$49)^(-1+L$75)</f>
        <v>0</v>
      </c>
      <c r="M91" s="12">
        <f>IF(COUNT($F$77:M77)&gt;$F$64,-$K46,0)*IF(M$76&gt;$K$69,0,1)*(1+$L$49)^(-1+M$75)</f>
        <v>0</v>
      </c>
      <c r="N91" s="12">
        <f>IF(COUNT($F$77:N77)&gt;$F$64,-$K46,0)*IF(N$76&gt;$K$69,0,1)*(1+$L$49)^(-1+N$75)</f>
        <v>0</v>
      </c>
      <c r="O91" s="12">
        <f>IF(COUNT($F$77:O77)&gt;$F$64,-$K46,0)*IF(O$76&gt;$K$69,0,1)*(1+$L$49)^(-1+O$75)</f>
        <v>0</v>
      </c>
      <c r="P91" s="12">
        <f>IF(COUNT($F$77:P77)&gt;$F$64,-$K46,0)*IF(P$76&gt;$K$69,0,1)*(1+$L$49)^(-1+P$75)</f>
        <v>0</v>
      </c>
      <c r="Q91" s="12">
        <f>IF(COUNT($F$77:Q77)&gt;$F$64,-$K46,0)*IF(Q$76&gt;$K$69,0,1)*(1+$L$49)^(-1+Q$75)</f>
        <v>0</v>
      </c>
      <c r="R91" s="12">
        <f>IF(COUNT($F$77:R77)&gt;$F$64,-$K46,0)*IF(R$76&gt;$K$69,0,1)*(1+$L$49)^(-1+R$75)</f>
        <v>0</v>
      </c>
      <c r="S91" s="12">
        <f>IF(COUNT($F$77:S77)&gt;$F$64,-$K46,0)*IF(S$76&gt;$K$69,0,1)*(1+$L$49)^(-1+S$75)</f>
        <v>0</v>
      </c>
      <c r="T91" s="12">
        <f>IF(COUNT($F$77:T77)&gt;$F$64,-$K46,0)*IF(T$76&gt;$K$69,0,1)*(1+$L$49)^(-1+T$75)</f>
        <v>0</v>
      </c>
      <c r="U91" s="12">
        <f>IF(COUNT($F$77:U77)&gt;$F$64,-$K46,0)*IF(U$76&gt;$K$69,0,1)*(1+$L$49)^(-1+U$75)</f>
        <v>0</v>
      </c>
      <c r="V91" s="12">
        <f>IF(COUNT($F$77:V77)&gt;$F$64,-$K46,0)*IF(V$76&gt;$K$69,0,1)*(1+$L$49)^(-1+V$75)</f>
        <v>0</v>
      </c>
      <c r="W91" s="12">
        <f>IF(COUNT($F$77:W77)&gt;$F$64,-$K46,0)*IF(W$76&gt;$K$69,0,1)*(1+$L$49)^(-1+W$75)</f>
        <v>0</v>
      </c>
      <c r="X91" s="12">
        <f>IF(COUNT($F$77:X77)&gt;$F$64,-$K46,0)*IF(X$76&gt;$K$69,0,1)*(1+$L$49)^(-1+X$75)</f>
        <v>0</v>
      </c>
      <c r="Y91" s="12">
        <f>IF(COUNT($F$77:Y77)&gt;$F$64,-$K46,0)*IF(Y$76&gt;$K$69,0,1)*(1+$L$49)^(-1+Y$75)</f>
        <v>0</v>
      </c>
      <c r="Z91" s="12">
        <f>IF(COUNT($F$77:Z77)&gt;$F$64,-$K46,0)*IF(Z$76&gt;$K$69,0,1)*(1+$L$49)^(-1+Z$75)</f>
        <v>0</v>
      </c>
      <c r="AA91" s="12">
        <f>IF(COUNT($F$77:AA77)&gt;$F$64,-$K46,0)*IF(AA$76&gt;$K$69,0,1)*(1+$L$49)^(-1+AA$75)</f>
        <v>0</v>
      </c>
      <c r="AB91" s="12">
        <f>IF(COUNT($F$77:AB77)&gt;$F$64,-$K46,0)*IF(AB$76&gt;$K$69,0,1)*(1+$L$49)^(-1+AB$75)</f>
        <v>0</v>
      </c>
      <c r="AC91" s="12">
        <f>IF(COUNT($F$77:AC77)&gt;$F$64,-$K46,0)*IF(AC$76&gt;$K$69,0,1)*(1+$L$49)^(-1+AC$75)</f>
        <v>0</v>
      </c>
      <c r="AD91" s="12">
        <f>IF(COUNT($F$77:AD77)&gt;$F$64,-$K46,0)*IF(AD$76&gt;$K$69,0,1)*(1+$L$49)^(-1+AD$75)</f>
        <v>0</v>
      </c>
      <c r="AE91" s="12">
        <f>IF(COUNT($F$77:AE77)&gt;$F$64,-$K46,0)*IF(AE$76&gt;$K$69,0,1)*(1+$L$49)^(-1+AE$75)</f>
        <v>0</v>
      </c>
      <c r="AF91" s="12">
        <f>IF(COUNT($F$77:AF77)&gt;$F$64,-$K46,0)*IF(AF$76&gt;$K$69,0,1)*(1+$L$49)^(-1+AF$75)</f>
        <v>0</v>
      </c>
      <c r="AG91" s="12">
        <f>IF(COUNT($F$77:AG77)&gt;$F$64,-$K46,0)*IF(AG$76&gt;$K$69,0,1)*(1+$L$49)^(-1+AG$75)</f>
        <v>0</v>
      </c>
      <c r="AH91" s="12">
        <f>IF(COUNT($F$77:AH77)&gt;$F$64,-$K46,0)*IF(AH$76&gt;$K$69,0,1)*(1+$L$49)^(-1+AH$75)</f>
        <v>0</v>
      </c>
      <c r="AI91" s="12">
        <f>IF(COUNT($F$77:AI77)&gt;$F$64,-$K46,0)*IF(AI$76&gt;$K$69,0,1)*(1+$L$49)^(-1+AI$75)</f>
        <v>0</v>
      </c>
      <c r="AJ91" s="12">
        <f>IF(COUNT($F$77:AJ77)&gt;$F$64,-$K46,0)*IF(AJ$76&gt;$K$69,0,1)*(1+$L$49)^(-1+AJ$75)</f>
        <v>0</v>
      </c>
      <c r="AK91" s="12">
        <f>IF(COUNT($F$77:AK77)&gt;$F$64,-$K46,0)*IF(AK$76&gt;$K$69,0,1)*(1+$L$49)^(-1+AK$75)</f>
        <v>0</v>
      </c>
      <c r="AL91" s="12">
        <f>IF(COUNT($F$77:AL77)&gt;$F$64,-$K46,0)*IF(AL$76&gt;$K$69,0,1)*(1+$L$49)^(-1+AL$75)</f>
        <v>0</v>
      </c>
      <c r="AM91" s="12">
        <f>IF(COUNT($F$77:AM77)&gt;$F$64,-$K46,0)*IF(AM$76&gt;$K$69,0,1)*(1+$L$49)^(-1+AM$75)</f>
        <v>0</v>
      </c>
      <c r="AN91" s="12">
        <f>IF(COUNT($F$77:AN77)&gt;$F$64,-$K46,0)*IF(AN$76&gt;$K$69,0,1)*(1+$L$49)^(-1+AN$75)</f>
        <v>0</v>
      </c>
      <c r="AO91" s="12">
        <f>IF(COUNT($F$77:AO77)&gt;$F$64,-$K46,0)*IF(AO$76&gt;$K$69,0,1)*(1+$L$49)^(-1+AO$75)</f>
        <v>0</v>
      </c>
      <c r="AP91" s="12">
        <f>IF(COUNT($F$77:AP77)&gt;$F$64,-$K46,0)*IF(AP$76&gt;$K$69,0,1)*(1+$L$49)^(-1+AP$75)</f>
        <v>0</v>
      </c>
      <c r="AQ91" s="12">
        <f>IF(COUNT($F$77:AQ77)&gt;$F$64,-$K46,0)*IF(AQ$76&gt;$K$69,0,1)*(1+$L$49)^(-1+AQ$75)</f>
        <v>0</v>
      </c>
      <c r="AR91" s="12">
        <f>IF(COUNT($F$77:AR77)&gt;$F$64,-$K46,0)*IF(AR$76&gt;$K$69,0,1)*(1+$L$49)^(-1+AR$75)</f>
        <v>0</v>
      </c>
      <c r="AS91" s="12">
        <f>IF(COUNT($F$77:AS77)&gt;$F$64,-$K46,0)*IF(AS$76&gt;$K$69,0,1)*(1+$L$49)^(-1+AS$75)</f>
        <v>0</v>
      </c>
      <c r="AT91" s="12">
        <f>IF(COUNT($F$77:AT77)&gt;$F$64,-$K46,0)*IF(AT$76&gt;$K$69,0,1)*(1+$L$49)^(-1+AT$75)</f>
        <v>0</v>
      </c>
      <c r="AU91" s="12">
        <f>IF(COUNT($F$77:AU77)&gt;$F$64,-$K46,0)*IF(AU$76&gt;$K$69,0,1)*(1+$L$49)^(-1+AU$75)</f>
        <v>0</v>
      </c>
      <c r="AV91" s="12">
        <f>IF(COUNT($F$77:AV77)&gt;$F$64,-$K46,0)*IF(AV$76&gt;$K$69,0,1)*(1+$L$49)^(-1+AV$75)</f>
        <v>0</v>
      </c>
      <c r="AW91" s="12">
        <f>IF(COUNT($F$77:AW77)&gt;$F$64,-$K46,0)*IF(AW$76&gt;$K$69,0,1)*(1+$L$49)^(-1+AW$75)</f>
        <v>0</v>
      </c>
      <c r="AX91" s="12">
        <f>IF(COUNT($F$77:AX77)&gt;$F$64,-$K46,0)*IF(AX$76&gt;$K$69,0,1)*(1+$L$49)^(-1+AX$75)</f>
        <v>0</v>
      </c>
      <c r="AY91" s="12">
        <f>IF(COUNT($F$77:AY77)&gt;$F$64,-$K46,0)*IF(AY$76&gt;$K$69,0,1)*(1+$L$49)^(-1+AY$75)</f>
        <v>0</v>
      </c>
      <c r="AZ91" s="12">
        <f>IF(COUNT($F$77:AZ77)&gt;$F$64,-$K46,0)*IF(AZ$76&gt;$K$69,0,1)*(1+$L$49)^(-1+AZ$75)</f>
        <v>0</v>
      </c>
      <c r="BA91" s="12">
        <f>IF(COUNT($F$77:BA77)&gt;$F$64,-$K46,0)*IF(BA$76&gt;$K$69,0,1)*(1+$L$49)^(-1+BA$75)</f>
        <v>0</v>
      </c>
      <c r="BB91" s="12">
        <f>IF(COUNT($F$77:BB77)&gt;$F$64,-$K46,0)*IF(BB$76&gt;$K$69,0,1)*(1+$L$49)^(-1+BB$75)</f>
        <v>0</v>
      </c>
      <c r="BC91" s="12">
        <f>IF(COUNT($F$77:BC77)&gt;$F$64,-$K46,0)*IF(BC$76&gt;$K$69,0,1)*(1+$L$49)^(-1+BC$75)</f>
        <v>0</v>
      </c>
      <c r="BD91" s="12">
        <f>IF(COUNT($F$77:BD77)&gt;$F$64,-$K46,0)*IF(BD$76&gt;$K$69,0,1)*(1+$L$49)^(-1+BD$75)</f>
        <v>0</v>
      </c>
      <c r="BE91" s="12">
        <f>IF(COUNT($F$77:BE77)&gt;$F$64,-$K46,0)*IF(BE$76&gt;$K$69,0,1)*(1+$L$49)^(-1+BE$75)</f>
        <v>0</v>
      </c>
      <c r="BF91" s="12">
        <f>IF(COUNT($F$77:BF77)&gt;$F$64,-$K46,0)*IF(BF$76&gt;$K$69,0,1)*(1+$L$49)^(-1+BF$75)</f>
        <v>0</v>
      </c>
      <c r="BG91" s="12">
        <f>IF(COUNT($F$77:BG77)&gt;$F$64,-$K46,0)*IF(BG$76&gt;$K$69,0,1)*(1+$L$49)^(-1+BG$75)</f>
        <v>0</v>
      </c>
      <c r="BH91" s="12">
        <f>IF(COUNT($F$77:BH77)&gt;$F$64,-$K46,0)*IF(BH$76&gt;$K$69,0,1)*(1+$L$49)^(-1+BH$75)</f>
        <v>0</v>
      </c>
      <c r="BI91" s="12">
        <f>IF(COUNT($F$77:BI77)&gt;$F$64,-$K46,0)*IF(BI$76&gt;$K$69,0,1)*(1+$L$49)^(-1+BI$75)</f>
        <v>0</v>
      </c>
      <c r="BJ91" s="12">
        <f>IF(COUNT($F$77:BJ77)&gt;$F$64,-$K46,0)*IF(BJ$76&gt;$K$69,0,1)*(1+$L$49)^(-1+BJ$75)</f>
        <v>0</v>
      </c>
      <c r="BK91" s="12">
        <f>IF(COUNT($F$77:BK77)&gt;$F$64,-$K46,0)*IF(BK$76&gt;$K$69,0,1)*(1+$L$49)^(-1+BK$75)</f>
        <v>0</v>
      </c>
      <c r="BL91" s="12">
        <f>IF(COUNT($F$77:BL77)&gt;$F$64,-$K46,0)*IF(BL$76&gt;$K$69,0,1)*(1+$L$49)^(-1+BL$75)</f>
        <v>0</v>
      </c>
      <c r="BM91" s="12">
        <f>IF(COUNT($F$77:BM77)&gt;$F$64,-$K46,0)*IF(BM$76&gt;$K$69,0,1)*(1+$L$49)^(-1+BM$75)</f>
        <v>0</v>
      </c>
    </row>
    <row r="92" spans="2:65" s="1" customFormat="1" ht="10" x14ac:dyDescent="0.15">
      <c r="B92" s="12" t="str">
        <f t="shared" si="14"/>
        <v>Other (pcm / p.a.)</v>
      </c>
      <c r="E92" s="12"/>
      <c r="F92" s="12">
        <f>IF(COUNT($F$77:F77)&gt;$F$64,-$K47,0)*IF(F$76&gt;$K$69,0,1)*(1+$L$49)^(-1+F$75)</f>
        <v>0</v>
      </c>
      <c r="G92" s="12">
        <f>IF(COUNT($F$77:G77)&gt;$F$64,-$K47,0)*IF(G$76&gt;$K$69,0,1)*(1+$L$49)^(-1+G$75)</f>
        <v>0</v>
      </c>
      <c r="H92" s="12">
        <f>IF(COUNT($F$77:H77)&gt;$F$64,-$K47,0)*IF(H$76&gt;$K$69,0,1)*(1+$L$49)^(-1+H$75)</f>
        <v>0</v>
      </c>
      <c r="I92" s="12">
        <f>IF(COUNT($F$77:I77)&gt;$F$64,-$K47,0)*IF(I$76&gt;$K$69,0,1)*(1+$L$49)^(-1+I$75)</f>
        <v>0</v>
      </c>
      <c r="J92" s="12">
        <f>IF(COUNT($F$77:J77)&gt;$F$64,-$K47,0)*IF(J$76&gt;$K$69,0,1)*(1+$L$49)^(-1+J$75)</f>
        <v>0</v>
      </c>
      <c r="K92" s="12">
        <f>IF(COUNT($F$77:K77)&gt;$F$64,-$K47,0)*IF(K$76&gt;$K$69,0,1)*(1+$L$49)^(-1+K$75)</f>
        <v>0</v>
      </c>
      <c r="L92" s="12">
        <f>IF(COUNT($F$77:L77)&gt;$F$64,-$K47,0)*IF(L$76&gt;$K$69,0,1)*(1+$L$49)^(-1+L$75)</f>
        <v>0</v>
      </c>
      <c r="M92" s="12">
        <f>IF(COUNT($F$77:M77)&gt;$F$64,-$K47,0)*IF(M$76&gt;$K$69,0,1)*(1+$L$49)^(-1+M$75)</f>
        <v>0</v>
      </c>
      <c r="N92" s="12">
        <f>IF(COUNT($F$77:N77)&gt;$F$64,-$K47,0)*IF(N$76&gt;$K$69,0,1)*(1+$L$49)^(-1+N$75)</f>
        <v>0</v>
      </c>
      <c r="O92" s="12">
        <f>IF(COUNT($F$77:O77)&gt;$F$64,-$K47,0)*IF(O$76&gt;$K$69,0,1)*(1+$L$49)^(-1+O$75)</f>
        <v>0</v>
      </c>
      <c r="P92" s="12">
        <f>IF(COUNT($F$77:P77)&gt;$F$64,-$K47,0)*IF(P$76&gt;$K$69,0,1)*(1+$L$49)^(-1+P$75)</f>
        <v>0</v>
      </c>
      <c r="Q92" s="12">
        <f>IF(COUNT($F$77:Q77)&gt;$F$64,-$K47,0)*IF(Q$76&gt;$K$69,0,1)*(1+$L$49)^(-1+Q$75)</f>
        <v>0</v>
      </c>
      <c r="R92" s="12">
        <f>IF(COUNT($F$77:R77)&gt;$F$64,-$K47,0)*IF(R$76&gt;$K$69,0,1)*(1+$L$49)^(-1+R$75)</f>
        <v>0</v>
      </c>
      <c r="S92" s="12">
        <f>IF(COUNT($F$77:S77)&gt;$F$64,-$K47,0)*IF(S$76&gt;$K$69,0,1)*(1+$L$49)^(-1+S$75)</f>
        <v>0</v>
      </c>
      <c r="T92" s="12">
        <f>IF(COUNT($F$77:T77)&gt;$F$64,-$K47,0)*IF(T$76&gt;$K$69,0,1)*(1+$L$49)^(-1+T$75)</f>
        <v>0</v>
      </c>
      <c r="U92" s="12">
        <f>IF(COUNT($F$77:U77)&gt;$F$64,-$K47,0)*IF(U$76&gt;$K$69,0,1)*(1+$L$49)^(-1+U$75)</f>
        <v>0</v>
      </c>
      <c r="V92" s="12">
        <f>IF(COUNT($F$77:V77)&gt;$F$64,-$K47,0)*IF(V$76&gt;$K$69,0,1)*(1+$L$49)^(-1+V$75)</f>
        <v>0</v>
      </c>
      <c r="W92" s="12">
        <f>IF(COUNT($F$77:W77)&gt;$F$64,-$K47,0)*IF(W$76&gt;$K$69,0,1)*(1+$L$49)^(-1+W$75)</f>
        <v>0</v>
      </c>
      <c r="X92" s="12">
        <f>IF(COUNT($F$77:X77)&gt;$F$64,-$K47,0)*IF(X$76&gt;$K$69,0,1)*(1+$L$49)^(-1+X$75)</f>
        <v>0</v>
      </c>
      <c r="Y92" s="12">
        <f>IF(COUNT($F$77:Y77)&gt;$F$64,-$K47,0)*IF(Y$76&gt;$K$69,0,1)*(1+$L$49)^(-1+Y$75)</f>
        <v>0</v>
      </c>
      <c r="Z92" s="12">
        <f>IF(COUNT($F$77:Z77)&gt;$F$64,-$K47,0)*IF(Z$76&gt;$K$69,0,1)*(1+$L$49)^(-1+Z$75)</f>
        <v>0</v>
      </c>
      <c r="AA92" s="12">
        <f>IF(COUNT($F$77:AA77)&gt;$F$64,-$K47,0)*IF(AA$76&gt;$K$69,0,1)*(1+$L$49)^(-1+AA$75)</f>
        <v>0</v>
      </c>
      <c r="AB92" s="12">
        <f>IF(COUNT($F$77:AB77)&gt;$F$64,-$K47,0)*IF(AB$76&gt;$K$69,0,1)*(1+$L$49)^(-1+AB$75)</f>
        <v>0</v>
      </c>
      <c r="AC92" s="12">
        <f>IF(COUNT($F$77:AC77)&gt;$F$64,-$K47,0)*IF(AC$76&gt;$K$69,0,1)*(1+$L$49)^(-1+AC$75)</f>
        <v>0</v>
      </c>
      <c r="AD92" s="12">
        <f>IF(COUNT($F$77:AD77)&gt;$F$64,-$K47,0)*IF(AD$76&gt;$K$69,0,1)*(1+$L$49)^(-1+AD$75)</f>
        <v>0</v>
      </c>
      <c r="AE92" s="12">
        <f>IF(COUNT($F$77:AE77)&gt;$F$64,-$K47,0)*IF(AE$76&gt;$K$69,0,1)*(1+$L$49)^(-1+AE$75)</f>
        <v>0</v>
      </c>
      <c r="AF92" s="12">
        <f>IF(COUNT($F$77:AF77)&gt;$F$64,-$K47,0)*IF(AF$76&gt;$K$69,0,1)*(1+$L$49)^(-1+AF$75)</f>
        <v>0</v>
      </c>
      <c r="AG92" s="12">
        <f>IF(COUNT($F$77:AG77)&gt;$F$64,-$K47,0)*IF(AG$76&gt;$K$69,0,1)*(1+$L$49)^(-1+AG$75)</f>
        <v>0</v>
      </c>
      <c r="AH92" s="12">
        <f>IF(COUNT($F$77:AH77)&gt;$F$64,-$K47,0)*IF(AH$76&gt;$K$69,0,1)*(1+$L$49)^(-1+AH$75)</f>
        <v>0</v>
      </c>
      <c r="AI92" s="12">
        <f>IF(COUNT($F$77:AI77)&gt;$F$64,-$K47,0)*IF(AI$76&gt;$K$69,0,1)*(1+$L$49)^(-1+AI$75)</f>
        <v>0</v>
      </c>
      <c r="AJ92" s="12">
        <f>IF(COUNT($F$77:AJ77)&gt;$F$64,-$K47,0)*IF(AJ$76&gt;$K$69,0,1)*(1+$L$49)^(-1+AJ$75)</f>
        <v>0</v>
      </c>
      <c r="AK92" s="12">
        <f>IF(COUNT($F$77:AK77)&gt;$F$64,-$K47,0)*IF(AK$76&gt;$K$69,0,1)*(1+$L$49)^(-1+AK$75)</f>
        <v>0</v>
      </c>
      <c r="AL92" s="12">
        <f>IF(COUNT($F$77:AL77)&gt;$F$64,-$K47,0)*IF(AL$76&gt;$K$69,0,1)*(1+$L$49)^(-1+AL$75)</f>
        <v>0</v>
      </c>
      <c r="AM92" s="12">
        <f>IF(COUNT($F$77:AM77)&gt;$F$64,-$K47,0)*IF(AM$76&gt;$K$69,0,1)*(1+$L$49)^(-1+AM$75)</f>
        <v>0</v>
      </c>
      <c r="AN92" s="12">
        <f>IF(COUNT($F$77:AN77)&gt;$F$64,-$K47,0)*IF(AN$76&gt;$K$69,0,1)*(1+$L$49)^(-1+AN$75)</f>
        <v>0</v>
      </c>
      <c r="AO92" s="12">
        <f>IF(COUNT($F$77:AO77)&gt;$F$64,-$K47,0)*IF(AO$76&gt;$K$69,0,1)*(1+$L$49)^(-1+AO$75)</f>
        <v>0</v>
      </c>
      <c r="AP92" s="12">
        <f>IF(COUNT($F$77:AP77)&gt;$F$64,-$K47,0)*IF(AP$76&gt;$K$69,0,1)*(1+$L$49)^(-1+AP$75)</f>
        <v>0</v>
      </c>
      <c r="AQ92" s="12">
        <f>IF(COUNT($F$77:AQ77)&gt;$F$64,-$K47,0)*IF(AQ$76&gt;$K$69,0,1)*(1+$L$49)^(-1+AQ$75)</f>
        <v>0</v>
      </c>
      <c r="AR92" s="12">
        <f>IF(COUNT($F$77:AR77)&gt;$F$64,-$K47,0)*IF(AR$76&gt;$K$69,0,1)*(1+$L$49)^(-1+AR$75)</f>
        <v>0</v>
      </c>
      <c r="AS92" s="12">
        <f>IF(COUNT($F$77:AS77)&gt;$F$64,-$K47,0)*IF(AS$76&gt;$K$69,0,1)*(1+$L$49)^(-1+AS$75)</f>
        <v>0</v>
      </c>
      <c r="AT92" s="12">
        <f>IF(COUNT($F$77:AT77)&gt;$F$64,-$K47,0)*IF(AT$76&gt;$K$69,0,1)*(1+$L$49)^(-1+AT$75)</f>
        <v>0</v>
      </c>
      <c r="AU92" s="12">
        <f>IF(COUNT($F$77:AU77)&gt;$F$64,-$K47,0)*IF(AU$76&gt;$K$69,0,1)*(1+$L$49)^(-1+AU$75)</f>
        <v>0</v>
      </c>
      <c r="AV92" s="12">
        <f>IF(COUNT($F$77:AV77)&gt;$F$64,-$K47,0)*IF(AV$76&gt;$K$69,0,1)*(1+$L$49)^(-1+AV$75)</f>
        <v>0</v>
      </c>
      <c r="AW92" s="12">
        <f>IF(COUNT($F$77:AW77)&gt;$F$64,-$K47,0)*IF(AW$76&gt;$K$69,0,1)*(1+$L$49)^(-1+AW$75)</f>
        <v>0</v>
      </c>
      <c r="AX92" s="12">
        <f>IF(COUNT($F$77:AX77)&gt;$F$64,-$K47,0)*IF(AX$76&gt;$K$69,0,1)*(1+$L$49)^(-1+AX$75)</f>
        <v>0</v>
      </c>
      <c r="AY92" s="12">
        <f>IF(COUNT($F$77:AY77)&gt;$F$64,-$K47,0)*IF(AY$76&gt;$K$69,0,1)*(1+$L$49)^(-1+AY$75)</f>
        <v>0</v>
      </c>
      <c r="AZ92" s="12">
        <f>IF(COUNT($F$77:AZ77)&gt;$F$64,-$K47,0)*IF(AZ$76&gt;$K$69,0,1)*(1+$L$49)^(-1+AZ$75)</f>
        <v>0</v>
      </c>
      <c r="BA92" s="12">
        <f>IF(COUNT($F$77:BA77)&gt;$F$64,-$K47,0)*IF(BA$76&gt;$K$69,0,1)*(1+$L$49)^(-1+BA$75)</f>
        <v>0</v>
      </c>
      <c r="BB92" s="12">
        <f>IF(COUNT($F$77:BB77)&gt;$F$64,-$K47,0)*IF(BB$76&gt;$K$69,0,1)*(1+$L$49)^(-1+BB$75)</f>
        <v>0</v>
      </c>
      <c r="BC92" s="12">
        <f>IF(COUNT($F$77:BC77)&gt;$F$64,-$K47,0)*IF(BC$76&gt;$K$69,0,1)*(1+$L$49)^(-1+BC$75)</f>
        <v>0</v>
      </c>
      <c r="BD92" s="12">
        <f>IF(COUNT($F$77:BD77)&gt;$F$64,-$K47,0)*IF(BD$76&gt;$K$69,0,1)*(1+$L$49)^(-1+BD$75)</f>
        <v>0</v>
      </c>
      <c r="BE92" s="12">
        <f>IF(COUNT($F$77:BE77)&gt;$F$64,-$K47,0)*IF(BE$76&gt;$K$69,0,1)*(1+$L$49)^(-1+BE$75)</f>
        <v>0</v>
      </c>
      <c r="BF92" s="12">
        <f>IF(COUNT($F$77:BF77)&gt;$F$64,-$K47,0)*IF(BF$76&gt;$K$69,0,1)*(1+$L$49)^(-1+BF$75)</f>
        <v>0</v>
      </c>
      <c r="BG92" s="12">
        <f>IF(COUNT($F$77:BG77)&gt;$F$64,-$K47,0)*IF(BG$76&gt;$K$69,0,1)*(1+$L$49)^(-1+BG$75)</f>
        <v>0</v>
      </c>
      <c r="BH92" s="12">
        <f>IF(COUNT($F$77:BH77)&gt;$F$64,-$K47,0)*IF(BH$76&gt;$K$69,0,1)*(1+$L$49)^(-1+BH$75)</f>
        <v>0</v>
      </c>
      <c r="BI92" s="12">
        <f>IF(COUNT($F$77:BI77)&gt;$F$64,-$K47,0)*IF(BI$76&gt;$K$69,0,1)*(1+$L$49)^(-1+BI$75)</f>
        <v>0</v>
      </c>
      <c r="BJ92" s="12">
        <f>IF(COUNT($F$77:BJ77)&gt;$F$64,-$K47,0)*IF(BJ$76&gt;$K$69,0,1)*(1+$L$49)^(-1+BJ$75)</f>
        <v>0</v>
      </c>
      <c r="BK92" s="12">
        <f>IF(COUNT($F$77:BK77)&gt;$F$64,-$K47,0)*IF(BK$76&gt;$K$69,0,1)*(1+$L$49)^(-1+BK$75)</f>
        <v>0</v>
      </c>
      <c r="BL92" s="12">
        <f>IF(COUNT($F$77:BL77)&gt;$F$64,-$K47,0)*IF(BL$76&gt;$K$69,0,1)*(1+$L$49)^(-1+BL$75)</f>
        <v>0</v>
      </c>
      <c r="BM92" s="12">
        <f>IF(COUNT($F$77:BM77)&gt;$F$64,-$K47,0)*IF(BM$76&gt;$K$69,0,1)*(1+$L$49)^(-1+BM$75)</f>
        <v>0</v>
      </c>
    </row>
    <row r="93" spans="2:65" s="1" customFormat="1" ht="10" x14ac:dyDescent="0.15">
      <c r="B93" s="12" t="s">
        <v>99</v>
      </c>
      <c r="E93" s="12"/>
      <c r="F93" s="12">
        <f t="shared" ref="F93:AK93" si="27">$L$70*(F76=$K$69)</f>
        <v>0</v>
      </c>
      <c r="G93" s="12">
        <f t="shared" si="27"/>
        <v>0</v>
      </c>
      <c r="H93" s="12">
        <f t="shared" si="27"/>
        <v>0</v>
      </c>
      <c r="I93" s="12">
        <f t="shared" si="27"/>
        <v>0</v>
      </c>
      <c r="J93" s="12">
        <f t="shared" si="27"/>
        <v>0</v>
      </c>
      <c r="K93" s="12">
        <f t="shared" si="27"/>
        <v>0</v>
      </c>
      <c r="L93" s="12">
        <f t="shared" si="27"/>
        <v>0</v>
      </c>
      <c r="M93" s="12">
        <f t="shared" si="27"/>
        <v>0</v>
      </c>
      <c r="N93" s="12">
        <f t="shared" si="27"/>
        <v>0</v>
      </c>
      <c r="O93" s="12">
        <f t="shared" si="27"/>
        <v>0</v>
      </c>
      <c r="P93" s="12">
        <f t="shared" si="27"/>
        <v>0</v>
      </c>
      <c r="Q93" s="12">
        <f t="shared" si="27"/>
        <v>0</v>
      </c>
      <c r="R93" s="12">
        <f t="shared" si="27"/>
        <v>0</v>
      </c>
      <c r="S93" s="12">
        <f t="shared" si="27"/>
        <v>0</v>
      </c>
      <c r="T93" s="12">
        <f t="shared" si="27"/>
        <v>0</v>
      </c>
      <c r="U93" s="12">
        <f t="shared" si="27"/>
        <v>0</v>
      </c>
      <c r="V93" s="12">
        <f t="shared" si="27"/>
        <v>0</v>
      </c>
      <c r="W93" s="12">
        <f t="shared" si="27"/>
        <v>0</v>
      </c>
      <c r="X93" s="12">
        <f t="shared" si="27"/>
        <v>0</v>
      </c>
      <c r="Y93" s="12">
        <f t="shared" si="27"/>
        <v>0</v>
      </c>
      <c r="Z93" s="12">
        <f t="shared" si="27"/>
        <v>0</v>
      </c>
      <c r="AA93" s="12">
        <f t="shared" si="27"/>
        <v>0</v>
      </c>
      <c r="AB93" s="12">
        <f t="shared" si="27"/>
        <v>0</v>
      </c>
      <c r="AC93" s="12">
        <f t="shared" si="27"/>
        <v>0</v>
      </c>
      <c r="AD93" s="12">
        <f t="shared" si="27"/>
        <v>0</v>
      </c>
      <c r="AE93" s="12">
        <f t="shared" si="27"/>
        <v>0</v>
      </c>
      <c r="AF93" s="12">
        <f t="shared" si="27"/>
        <v>0</v>
      </c>
      <c r="AG93" s="12">
        <f t="shared" si="27"/>
        <v>0</v>
      </c>
      <c r="AH93" s="12">
        <f t="shared" si="27"/>
        <v>0</v>
      </c>
      <c r="AI93" s="12">
        <f t="shared" si="27"/>
        <v>0</v>
      </c>
      <c r="AJ93" s="12">
        <f t="shared" si="27"/>
        <v>0</v>
      </c>
      <c r="AK93" s="12">
        <f t="shared" si="27"/>
        <v>0</v>
      </c>
      <c r="AL93" s="12">
        <f t="shared" ref="AL93:BM93" si="28">$L$70*(AL76=$K$69)</f>
        <v>0</v>
      </c>
      <c r="AM93" s="12">
        <f t="shared" si="28"/>
        <v>0</v>
      </c>
      <c r="AN93" s="12">
        <f t="shared" si="28"/>
        <v>0</v>
      </c>
      <c r="AO93" s="12">
        <f t="shared" si="28"/>
        <v>0</v>
      </c>
      <c r="AP93" s="12">
        <f t="shared" si="28"/>
        <v>0</v>
      </c>
      <c r="AQ93" s="12">
        <f t="shared" si="28"/>
        <v>0</v>
      </c>
      <c r="AR93" s="12">
        <f t="shared" si="28"/>
        <v>0</v>
      </c>
      <c r="AS93" s="12">
        <f t="shared" si="28"/>
        <v>0</v>
      </c>
      <c r="AT93" s="12">
        <f t="shared" si="28"/>
        <v>0</v>
      </c>
      <c r="AU93" s="12">
        <f t="shared" si="28"/>
        <v>0</v>
      </c>
      <c r="AV93" s="12">
        <f t="shared" si="28"/>
        <v>0</v>
      </c>
      <c r="AW93" s="12">
        <f t="shared" si="28"/>
        <v>0</v>
      </c>
      <c r="AX93" s="12">
        <f t="shared" si="28"/>
        <v>0</v>
      </c>
      <c r="AY93" s="12">
        <f t="shared" si="28"/>
        <v>0</v>
      </c>
      <c r="AZ93" s="12">
        <f t="shared" si="28"/>
        <v>0</v>
      </c>
      <c r="BA93" s="12">
        <f t="shared" si="28"/>
        <v>0</v>
      </c>
      <c r="BB93" s="12">
        <f t="shared" si="28"/>
        <v>0</v>
      </c>
      <c r="BC93" s="12">
        <f t="shared" si="28"/>
        <v>0</v>
      </c>
      <c r="BD93" s="12">
        <f t="shared" si="28"/>
        <v>0</v>
      </c>
      <c r="BE93" s="12">
        <f t="shared" si="28"/>
        <v>0</v>
      </c>
      <c r="BF93" s="12">
        <f t="shared" si="28"/>
        <v>0</v>
      </c>
      <c r="BG93" s="12">
        <f t="shared" si="28"/>
        <v>0</v>
      </c>
      <c r="BH93" s="12">
        <f t="shared" si="28"/>
        <v>0</v>
      </c>
      <c r="BI93" s="12">
        <f t="shared" si="28"/>
        <v>0</v>
      </c>
      <c r="BJ93" s="12">
        <f t="shared" si="28"/>
        <v>0</v>
      </c>
      <c r="BK93" s="12">
        <f t="shared" si="28"/>
        <v>0</v>
      </c>
      <c r="BL93" s="12">
        <f t="shared" si="28"/>
        <v>0</v>
      </c>
      <c r="BM93" s="12">
        <f t="shared" si="28"/>
        <v>250000</v>
      </c>
    </row>
    <row r="94" spans="2:65" s="1" customFormat="1" ht="10" x14ac:dyDescent="0.15">
      <c r="B94" s="12" t="s">
        <v>100</v>
      </c>
      <c r="E94" s="12"/>
      <c r="F94" s="12">
        <f t="shared" ref="F94:AK94" si="29">-F93*$K$71</f>
        <v>0</v>
      </c>
      <c r="G94" s="12">
        <f t="shared" si="29"/>
        <v>0</v>
      </c>
      <c r="H94" s="12">
        <f t="shared" si="29"/>
        <v>0</v>
      </c>
      <c r="I94" s="12">
        <f t="shared" si="29"/>
        <v>0</v>
      </c>
      <c r="J94" s="12">
        <f t="shared" si="29"/>
        <v>0</v>
      </c>
      <c r="K94" s="12">
        <f t="shared" si="29"/>
        <v>0</v>
      </c>
      <c r="L94" s="12">
        <f t="shared" si="29"/>
        <v>0</v>
      </c>
      <c r="M94" s="12">
        <f t="shared" si="29"/>
        <v>0</v>
      </c>
      <c r="N94" s="12">
        <f t="shared" si="29"/>
        <v>0</v>
      </c>
      <c r="O94" s="12">
        <f t="shared" si="29"/>
        <v>0</v>
      </c>
      <c r="P94" s="12">
        <f t="shared" si="29"/>
        <v>0</v>
      </c>
      <c r="Q94" s="12">
        <f t="shared" si="29"/>
        <v>0</v>
      </c>
      <c r="R94" s="12">
        <f t="shared" si="29"/>
        <v>0</v>
      </c>
      <c r="S94" s="12">
        <f t="shared" si="29"/>
        <v>0</v>
      </c>
      <c r="T94" s="12">
        <f t="shared" si="29"/>
        <v>0</v>
      </c>
      <c r="U94" s="12">
        <f t="shared" si="29"/>
        <v>0</v>
      </c>
      <c r="V94" s="12">
        <f t="shared" si="29"/>
        <v>0</v>
      </c>
      <c r="W94" s="12">
        <f t="shared" si="29"/>
        <v>0</v>
      </c>
      <c r="X94" s="12">
        <f t="shared" si="29"/>
        <v>0</v>
      </c>
      <c r="Y94" s="12">
        <f t="shared" si="29"/>
        <v>0</v>
      </c>
      <c r="Z94" s="12">
        <f t="shared" si="29"/>
        <v>0</v>
      </c>
      <c r="AA94" s="12">
        <f t="shared" si="29"/>
        <v>0</v>
      </c>
      <c r="AB94" s="12">
        <f t="shared" si="29"/>
        <v>0</v>
      </c>
      <c r="AC94" s="12">
        <f t="shared" si="29"/>
        <v>0</v>
      </c>
      <c r="AD94" s="12">
        <f t="shared" si="29"/>
        <v>0</v>
      </c>
      <c r="AE94" s="12">
        <f t="shared" si="29"/>
        <v>0</v>
      </c>
      <c r="AF94" s="12">
        <f t="shared" si="29"/>
        <v>0</v>
      </c>
      <c r="AG94" s="12">
        <f t="shared" si="29"/>
        <v>0</v>
      </c>
      <c r="AH94" s="12">
        <f t="shared" si="29"/>
        <v>0</v>
      </c>
      <c r="AI94" s="12">
        <f t="shared" si="29"/>
        <v>0</v>
      </c>
      <c r="AJ94" s="12">
        <f t="shared" si="29"/>
        <v>0</v>
      </c>
      <c r="AK94" s="12">
        <f t="shared" si="29"/>
        <v>0</v>
      </c>
      <c r="AL94" s="12">
        <f t="shared" ref="AL94:BM94" si="30">-AL93*$K$71</f>
        <v>0</v>
      </c>
      <c r="AM94" s="12">
        <f t="shared" si="30"/>
        <v>0</v>
      </c>
      <c r="AN94" s="12">
        <f t="shared" si="30"/>
        <v>0</v>
      </c>
      <c r="AO94" s="12">
        <f t="shared" si="30"/>
        <v>0</v>
      </c>
      <c r="AP94" s="12">
        <f t="shared" si="30"/>
        <v>0</v>
      </c>
      <c r="AQ94" s="12">
        <f t="shared" si="30"/>
        <v>0</v>
      </c>
      <c r="AR94" s="12">
        <f t="shared" si="30"/>
        <v>0</v>
      </c>
      <c r="AS94" s="12">
        <f t="shared" si="30"/>
        <v>0</v>
      </c>
      <c r="AT94" s="12">
        <f t="shared" si="30"/>
        <v>0</v>
      </c>
      <c r="AU94" s="12">
        <f t="shared" si="30"/>
        <v>0</v>
      </c>
      <c r="AV94" s="12">
        <f t="shared" si="30"/>
        <v>0</v>
      </c>
      <c r="AW94" s="12">
        <f t="shared" si="30"/>
        <v>0</v>
      </c>
      <c r="AX94" s="12">
        <f t="shared" si="30"/>
        <v>0</v>
      </c>
      <c r="AY94" s="12">
        <f t="shared" si="30"/>
        <v>0</v>
      </c>
      <c r="AZ94" s="12">
        <f t="shared" si="30"/>
        <v>0</v>
      </c>
      <c r="BA94" s="12">
        <f t="shared" si="30"/>
        <v>0</v>
      </c>
      <c r="BB94" s="12">
        <f t="shared" si="30"/>
        <v>0</v>
      </c>
      <c r="BC94" s="12">
        <f t="shared" si="30"/>
        <v>0</v>
      </c>
      <c r="BD94" s="12">
        <f t="shared" si="30"/>
        <v>0</v>
      </c>
      <c r="BE94" s="12">
        <f t="shared" si="30"/>
        <v>0</v>
      </c>
      <c r="BF94" s="12">
        <f t="shared" si="30"/>
        <v>0</v>
      </c>
      <c r="BG94" s="12">
        <f t="shared" si="30"/>
        <v>0</v>
      </c>
      <c r="BH94" s="12">
        <f t="shared" si="30"/>
        <v>0</v>
      </c>
      <c r="BI94" s="12">
        <f t="shared" si="30"/>
        <v>0</v>
      </c>
      <c r="BJ94" s="12">
        <f t="shared" si="30"/>
        <v>0</v>
      </c>
      <c r="BK94" s="12">
        <f t="shared" si="30"/>
        <v>0</v>
      </c>
      <c r="BL94" s="12">
        <f t="shared" si="30"/>
        <v>0</v>
      </c>
      <c r="BM94" s="12">
        <f t="shared" si="30"/>
        <v>-3750</v>
      </c>
    </row>
    <row r="95" spans="2:65" s="1" customFormat="1" ht="10" x14ac:dyDescent="0.15">
      <c r="B95" s="32" t="str">
        <f>N58</f>
        <v>Unlevered CF</v>
      </c>
      <c r="C95" s="36"/>
      <c r="D95" s="36"/>
      <c r="E95" s="13">
        <f t="shared" ref="E95:BM95" si="31">SUM(E78:E94)</f>
        <v>-72500</v>
      </c>
      <c r="F95" s="13">
        <f t="shared" si="31"/>
        <v>-9133.3333333333339</v>
      </c>
      <c r="G95" s="13">
        <f t="shared" si="31"/>
        <v>-9133.3333333333339</v>
      </c>
      <c r="H95" s="13">
        <f t="shared" si="31"/>
        <v>-9133.3333333333339</v>
      </c>
      <c r="I95" s="13">
        <f t="shared" si="31"/>
        <v>-9133.3333333333339</v>
      </c>
      <c r="J95" s="13">
        <f t="shared" si="31"/>
        <v>-9133.3333333333339</v>
      </c>
      <c r="K95" s="13">
        <f t="shared" si="31"/>
        <v>-9133.3333333333339</v>
      </c>
      <c r="L95" s="13">
        <f t="shared" si="31"/>
        <v>-800</v>
      </c>
      <c r="M95" s="13">
        <f t="shared" si="31"/>
        <v>1622.5</v>
      </c>
      <c r="N95" s="13">
        <f t="shared" si="31"/>
        <v>1622.5</v>
      </c>
      <c r="O95" s="13">
        <f t="shared" si="31"/>
        <v>1622.5</v>
      </c>
      <c r="P95" s="13">
        <f t="shared" si="31"/>
        <v>1622.5</v>
      </c>
      <c r="Q95" s="13">
        <f t="shared" si="31"/>
        <v>1622.5</v>
      </c>
      <c r="R95" s="13">
        <f t="shared" si="31"/>
        <v>1671.1750000000002</v>
      </c>
      <c r="S95" s="13">
        <f t="shared" si="31"/>
        <v>1671.1750000000002</v>
      </c>
      <c r="T95" s="13">
        <f t="shared" si="31"/>
        <v>1671.1750000000002</v>
      </c>
      <c r="U95" s="13">
        <f t="shared" si="31"/>
        <v>1671.1750000000002</v>
      </c>
      <c r="V95" s="13">
        <f t="shared" si="31"/>
        <v>1671.1750000000002</v>
      </c>
      <c r="W95" s="13">
        <f t="shared" si="31"/>
        <v>1671.1750000000002</v>
      </c>
      <c r="X95" s="13">
        <f t="shared" si="31"/>
        <v>1671.1750000000002</v>
      </c>
      <c r="Y95" s="13">
        <f t="shared" si="31"/>
        <v>1671.1750000000002</v>
      </c>
      <c r="Z95" s="13">
        <f t="shared" si="31"/>
        <v>1671.1750000000002</v>
      </c>
      <c r="AA95" s="13">
        <f t="shared" si="31"/>
        <v>1671.1750000000002</v>
      </c>
      <c r="AB95" s="13">
        <f t="shared" si="31"/>
        <v>1671.1750000000002</v>
      </c>
      <c r="AC95" s="13">
        <f t="shared" si="31"/>
        <v>1671.1750000000002</v>
      </c>
      <c r="AD95" s="13">
        <f t="shared" si="31"/>
        <v>1721.3102499999998</v>
      </c>
      <c r="AE95" s="13">
        <f t="shared" si="31"/>
        <v>1721.3102499999998</v>
      </c>
      <c r="AF95" s="13">
        <f t="shared" si="31"/>
        <v>1721.3102499999998</v>
      </c>
      <c r="AG95" s="13">
        <f t="shared" si="31"/>
        <v>1721.3102499999998</v>
      </c>
      <c r="AH95" s="13">
        <f t="shared" si="31"/>
        <v>1721.3102499999998</v>
      </c>
      <c r="AI95" s="13">
        <f t="shared" si="31"/>
        <v>1721.3102499999998</v>
      </c>
      <c r="AJ95" s="13">
        <f t="shared" si="31"/>
        <v>1721.3102499999998</v>
      </c>
      <c r="AK95" s="13">
        <f t="shared" si="31"/>
        <v>1721.3102499999998</v>
      </c>
      <c r="AL95" s="13">
        <f t="shared" si="31"/>
        <v>1721.3102499999998</v>
      </c>
      <c r="AM95" s="13">
        <f t="shared" si="31"/>
        <v>1721.3102499999998</v>
      </c>
      <c r="AN95" s="13">
        <f t="shared" si="31"/>
        <v>1721.3102499999998</v>
      </c>
      <c r="AO95" s="13">
        <f t="shared" si="31"/>
        <v>1721.3102499999998</v>
      </c>
      <c r="AP95" s="13">
        <f t="shared" si="31"/>
        <v>1772.9495575000001</v>
      </c>
      <c r="AQ95" s="13">
        <f t="shared" si="31"/>
        <v>1772.9495575000001</v>
      </c>
      <c r="AR95" s="13">
        <f t="shared" si="31"/>
        <v>1772.9495575000001</v>
      </c>
      <c r="AS95" s="13">
        <f t="shared" si="31"/>
        <v>1772.9495575000001</v>
      </c>
      <c r="AT95" s="13">
        <f t="shared" si="31"/>
        <v>1772.9495575000001</v>
      </c>
      <c r="AU95" s="13">
        <f t="shared" si="31"/>
        <v>1772.9495575000001</v>
      </c>
      <c r="AV95" s="13">
        <f t="shared" si="31"/>
        <v>1772.9495575000001</v>
      </c>
      <c r="AW95" s="13">
        <f t="shared" si="31"/>
        <v>1772.9495575000001</v>
      </c>
      <c r="AX95" s="13">
        <f t="shared" si="31"/>
        <v>1772.9495575000001</v>
      </c>
      <c r="AY95" s="13">
        <f t="shared" si="31"/>
        <v>1772.9495575000001</v>
      </c>
      <c r="AZ95" s="13">
        <f t="shared" si="31"/>
        <v>1772.9495575000001</v>
      </c>
      <c r="BA95" s="13">
        <f t="shared" si="31"/>
        <v>1772.9495575000001</v>
      </c>
      <c r="BB95" s="13">
        <f t="shared" si="31"/>
        <v>1826.1380442249997</v>
      </c>
      <c r="BC95" s="13">
        <f t="shared" si="31"/>
        <v>1826.1380442249997</v>
      </c>
      <c r="BD95" s="13">
        <f t="shared" si="31"/>
        <v>1826.1380442249997</v>
      </c>
      <c r="BE95" s="13">
        <f t="shared" si="31"/>
        <v>1826.1380442249997</v>
      </c>
      <c r="BF95" s="13">
        <f t="shared" si="31"/>
        <v>1826.1380442249997</v>
      </c>
      <c r="BG95" s="13">
        <f t="shared" si="31"/>
        <v>1826.1380442249997</v>
      </c>
      <c r="BH95" s="13">
        <f t="shared" si="31"/>
        <v>1826.1380442249997</v>
      </c>
      <c r="BI95" s="13">
        <f t="shared" si="31"/>
        <v>1826.1380442249997</v>
      </c>
      <c r="BJ95" s="13">
        <f t="shared" si="31"/>
        <v>1826.1380442249997</v>
      </c>
      <c r="BK95" s="13">
        <f t="shared" si="31"/>
        <v>1826.1380442249997</v>
      </c>
      <c r="BL95" s="13">
        <f t="shared" si="31"/>
        <v>1826.1380442249997</v>
      </c>
      <c r="BM95" s="13">
        <f t="shared" si="31"/>
        <v>248076.13804422499</v>
      </c>
    </row>
    <row r="96" spans="2:65" s="1" customFormat="1" ht="10" x14ac:dyDescent="0.15">
      <c r="B96" s="12" t="s">
        <v>80</v>
      </c>
      <c r="E96" s="12">
        <f>F50</f>
        <v>52500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</row>
    <row r="97" spans="2:76" s="1" customFormat="1" ht="10" x14ac:dyDescent="0.15">
      <c r="B97" s="12" t="s">
        <v>98</v>
      </c>
      <c r="E97" s="12">
        <f>IF(E76=0,-SUM(F53:F57),IF(E76=$F$51,-$F$58,0))</f>
        <v>-4500</v>
      </c>
      <c r="F97" s="12">
        <f t="shared" ref="F97:K97" si="32">IF(F76=0,-SUM(M30:M33),IF(F76=$F$51,-$F$58,0))</f>
        <v>0</v>
      </c>
      <c r="G97" s="12">
        <f t="shared" si="32"/>
        <v>0</v>
      </c>
      <c r="H97" s="12">
        <f t="shared" si="32"/>
        <v>0</v>
      </c>
      <c r="I97" s="12">
        <f t="shared" si="32"/>
        <v>0</v>
      </c>
      <c r="J97" s="12">
        <f t="shared" si="32"/>
        <v>0</v>
      </c>
      <c r="K97" s="12">
        <f t="shared" si="32"/>
        <v>0</v>
      </c>
      <c r="L97" s="12">
        <f>IF(L76=0,-SUM(T26:T30),IF(L76=$F$51,-$F$58,0))</f>
        <v>0</v>
      </c>
      <c r="M97" s="12">
        <f>IF(M76=0,-SUM(U26:U30),IF(M76=$F$51,-$F$58,0))</f>
        <v>0</v>
      </c>
      <c r="N97" s="12">
        <f>IF(N76=0,-SUM(U32:U33),IF(N76=$F$51,-$F$58,0))</f>
        <v>0</v>
      </c>
      <c r="O97" s="12">
        <f t="shared" ref="O97:Z97" si="33">IF(O76=0,-SUM(V30:V33),IF(O76=$F$51,-$F$58,0))</f>
        <v>0</v>
      </c>
      <c r="P97" s="12">
        <f t="shared" si="33"/>
        <v>0</v>
      </c>
      <c r="Q97" s="12">
        <f t="shared" si="33"/>
        <v>-525</v>
      </c>
      <c r="R97" s="12">
        <f t="shared" si="33"/>
        <v>0</v>
      </c>
      <c r="S97" s="12">
        <f t="shared" si="33"/>
        <v>0</v>
      </c>
      <c r="T97" s="12">
        <f t="shared" si="33"/>
        <v>0</v>
      </c>
      <c r="U97" s="12">
        <f t="shared" si="33"/>
        <v>0</v>
      </c>
      <c r="V97" s="12">
        <f t="shared" si="33"/>
        <v>0</v>
      </c>
      <c r="W97" s="12">
        <f t="shared" si="33"/>
        <v>0</v>
      </c>
      <c r="X97" s="12">
        <f t="shared" si="33"/>
        <v>0</v>
      </c>
      <c r="Y97" s="12">
        <f t="shared" si="33"/>
        <v>0</v>
      </c>
      <c r="Z97" s="12">
        <f t="shared" si="33"/>
        <v>0</v>
      </c>
      <c r="AA97" s="12">
        <f>IF(AA76=0,-SUM(#REF!),IF(AA76=$F$51,-$F$58,0))</f>
        <v>0</v>
      </c>
      <c r="AB97" s="12">
        <f>IF(AB76=0,-SUM(#REF!),IF(AB76=$F$51,-$F$58,0))</f>
        <v>0</v>
      </c>
      <c r="AC97" s="12">
        <f t="shared" ref="AC97:BM97" si="34">IF(AC76=0,-SUM(AJ30:AJ33),IF(AC76=$F$51,-$F$58,0))</f>
        <v>0</v>
      </c>
      <c r="AD97" s="12">
        <f t="shared" si="34"/>
        <v>0</v>
      </c>
      <c r="AE97" s="12">
        <f t="shared" si="34"/>
        <v>0</v>
      </c>
      <c r="AF97" s="12">
        <f t="shared" si="34"/>
        <v>0</v>
      </c>
      <c r="AG97" s="12">
        <f t="shared" si="34"/>
        <v>0</v>
      </c>
      <c r="AH97" s="12">
        <f t="shared" si="34"/>
        <v>0</v>
      </c>
      <c r="AI97" s="12">
        <f t="shared" si="34"/>
        <v>0</v>
      </c>
      <c r="AJ97" s="12">
        <f t="shared" si="34"/>
        <v>0</v>
      </c>
      <c r="AK97" s="12">
        <f t="shared" si="34"/>
        <v>0</v>
      </c>
      <c r="AL97" s="12">
        <f t="shared" si="34"/>
        <v>0</v>
      </c>
      <c r="AM97" s="12">
        <f t="shared" si="34"/>
        <v>0</v>
      </c>
      <c r="AN97" s="12">
        <f t="shared" si="34"/>
        <v>0</v>
      </c>
      <c r="AO97" s="12">
        <f t="shared" si="34"/>
        <v>0</v>
      </c>
      <c r="AP97" s="12">
        <f t="shared" si="34"/>
        <v>0</v>
      </c>
      <c r="AQ97" s="12">
        <f t="shared" si="34"/>
        <v>0</v>
      </c>
      <c r="AR97" s="12">
        <f t="shared" si="34"/>
        <v>0</v>
      </c>
      <c r="AS97" s="12">
        <f t="shared" si="34"/>
        <v>0</v>
      </c>
      <c r="AT97" s="12">
        <f t="shared" si="34"/>
        <v>0</v>
      </c>
      <c r="AU97" s="12">
        <f t="shared" si="34"/>
        <v>0</v>
      </c>
      <c r="AV97" s="12">
        <f t="shared" si="34"/>
        <v>0</v>
      </c>
      <c r="AW97" s="12">
        <f t="shared" si="34"/>
        <v>0</v>
      </c>
      <c r="AX97" s="12">
        <f t="shared" si="34"/>
        <v>0</v>
      </c>
      <c r="AY97" s="12">
        <f t="shared" si="34"/>
        <v>0</v>
      </c>
      <c r="AZ97" s="12">
        <f t="shared" si="34"/>
        <v>0</v>
      </c>
      <c r="BA97" s="12">
        <f t="shared" si="34"/>
        <v>0</v>
      </c>
      <c r="BB97" s="12">
        <f t="shared" si="34"/>
        <v>0</v>
      </c>
      <c r="BC97" s="12">
        <f t="shared" si="34"/>
        <v>0</v>
      </c>
      <c r="BD97" s="12">
        <f t="shared" si="34"/>
        <v>0</v>
      </c>
      <c r="BE97" s="12">
        <f t="shared" si="34"/>
        <v>0</v>
      </c>
      <c r="BF97" s="12">
        <f t="shared" si="34"/>
        <v>0</v>
      </c>
      <c r="BG97" s="12">
        <f t="shared" si="34"/>
        <v>0</v>
      </c>
      <c r="BH97" s="12">
        <f t="shared" si="34"/>
        <v>0</v>
      </c>
      <c r="BI97" s="12">
        <f t="shared" si="34"/>
        <v>0</v>
      </c>
      <c r="BJ97" s="12">
        <f t="shared" si="34"/>
        <v>0</v>
      </c>
      <c r="BK97" s="12">
        <f t="shared" si="34"/>
        <v>0</v>
      </c>
      <c r="BL97" s="12">
        <f t="shared" si="34"/>
        <v>0</v>
      </c>
      <c r="BM97" s="12">
        <f t="shared" si="34"/>
        <v>0</v>
      </c>
    </row>
    <row r="98" spans="2:76" s="1" customFormat="1" ht="10" x14ac:dyDescent="0.15">
      <c r="B98" s="12" t="s">
        <v>16</v>
      </c>
      <c r="E98" s="12"/>
      <c r="F98" s="12">
        <f>-IF(COUNT(F$77:$F77)&lt;=$F$51,$F$52/12,0)</f>
        <v>-262.5</v>
      </c>
      <c r="G98" s="12">
        <f>-IF(COUNT($F$77:G77)&lt;=$F$51,$F$52/12,0)</f>
        <v>-262.5</v>
      </c>
      <c r="H98" s="12">
        <f>-IF(COUNT($F$77:H77)&lt;=$F$51,$F$52/12,0)</f>
        <v>-262.5</v>
      </c>
      <c r="I98" s="12">
        <f>-IF(COUNT($F$77:I77)&lt;=$F$51,$F$52/12,0)</f>
        <v>-262.5</v>
      </c>
      <c r="J98" s="12">
        <f>-IF(COUNT($F$77:J77)&lt;=$F$51,$F$52/12,0)</f>
        <v>-262.5</v>
      </c>
      <c r="K98" s="12">
        <f>-IF(COUNT($F$77:K77)&lt;=$F$51,$F$52/12,0)</f>
        <v>-262.5</v>
      </c>
      <c r="L98" s="12">
        <f>-IF(COUNT($F$77:L77)&lt;=$F$51,$F$52/12,0)</f>
        <v>-262.5</v>
      </c>
      <c r="M98" s="12">
        <f>-IF(COUNT($F$77:M77)&lt;=$F$51,$F$52/12,0)</f>
        <v>-262.5</v>
      </c>
      <c r="N98" s="12">
        <f>-IF(COUNT($F$77:N77)&lt;=$F$51,$F$52/12,0)</f>
        <v>-262.5</v>
      </c>
      <c r="O98" s="12">
        <f>-IF(COUNT($F$77:O77)&lt;=$F$51,$F$52/12,0)</f>
        <v>-262.5</v>
      </c>
      <c r="P98" s="12">
        <f>-IF(COUNT($F$77:P77)&lt;=$F$51,$F$52/12,0)</f>
        <v>-262.5</v>
      </c>
      <c r="Q98" s="12">
        <f>-IF(COUNT($F$77:Q77)&lt;=$F$51,$F$52/12,0)</f>
        <v>-262.5</v>
      </c>
      <c r="R98" s="12">
        <f>-IF(COUNT($F$77:R77)&lt;=$F$51,$F$52/12,0)</f>
        <v>0</v>
      </c>
      <c r="S98" s="12">
        <f>-IF(COUNT($F$77:S77)&lt;=$F$51,$F$52/12,0)</f>
        <v>0</v>
      </c>
      <c r="T98" s="12">
        <f>-IF(COUNT($F$77:T77)&lt;=$F$51,$F$52/12,0)</f>
        <v>0</v>
      </c>
      <c r="U98" s="12">
        <f>-IF(COUNT($F$77:U77)&lt;=$F$51,$F$52/12,0)</f>
        <v>0</v>
      </c>
      <c r="V98" s="12">
        <f>-IF(COUNT($F$77:V77)&lt;=$F$51,$F$52/12,0)</f>
        <v>0</v>
      </c>
      <c r="W98" s="12">
        <f>-IF(COUNT($F$77:W77)&lt;=$F$51,$F$52/12,0)</f>
        <v>0</v>
      </c>
      <c r="X98" s="12">
        <f>-IF(COUNT($F$77:X77)&lt;=$F$51,$F$52/12,0)</f>
        <v>0</v>
      </c>
      <c r="Y98" s="12">
        <f>-IF(COUNT($F$77:Y77)&lt;=$F$51,$F$52/12,0)</f>
        <v>0</v>
      </c>
      <c r="Z98" s="12">
        <f>-IF(COUNT($F$77:Z77)&lt;=$F$51,$F$52/12,0)</f>
        <v>0</v>
      </c>
      <c r="AA98" s="12">
        <f>-IF(COUNT($F$77:AA77)&lt;=$F$51,$F$52/12,0)</f>
        <v>0</v>
      </c>
      <c r="AB98" s="12">
        <f>-IF(COUNT($F$77:AB77)&lt;=$F$51,$F$52/12,0)</f>
        <v>0</v>
      </c>
      <c r="AC98" s="12">
        <f>-IF(COUNT($F$77:AC77)&lt;=$F$51,$F$52/12,0)</f>
        <v>0</v>
      </c>
      <c r="AD98" s="12">
        <f>-IF(COUNT($F$77:AD77)&lt;=$F$51,$F$52/12,0)</f>
        <v>0</v>
      </c>
      <c r="AE98" s="12">
        <f>-IF(COUNT($F$77:AE77)&lt;=$F$51,$F$52/12,0)</f>
        <v>0</v>
      </c>
      <c r="AF98" s="12">
        <f>-IF(COUNT($F$77:AF77)&lt;=$F$51,$F$52/12,0)</f>
        <v>0</v>
      </c>
      <c r="AG98" s="12">
        <f>-IF(COUNT($F$77:AG77)&lt;=$F$51,$F$52/12,0)</f>
        <v>0</v>
      </c>
      <c r="AH98" s="12">
        <f>-IF(COUNT($F$77:AH77)&lt;=$F$51,$F$52/12,0)</f>
        <v>0</v>
      </c>
      <c r="AI98" s="12">
        <f>-IF(COUNT($F$77:AI77)&lt;=$F$51,$F$52/12,0)</f>
        <v>0</v>
      </c>
      <c r="AJ98" s="12">
        <f>-IF(COUNT($F$77:AJ77)&lt;=$F$51,$F$52/12,0)</f>
        <v>0</v>
      </c>
      <c r="AK98" s="12">
        <f>-IF(COUNT($F$77:AK77)&lt;=$F$51,$F$52/12,0)</f>
        <v>0</v>
      </c>
      <c r="AL98" s="12">
        <f>-IF(COUNT($F$77:AL77)&lt;=$F$51,$F$52/12,0)</f>
        <v>0</v>
      </c>
      <c r="AM98" s="12">
        <f>-IF(COUNT($F$77:AM77)&lt;=$F$51,$F$52/12,0)</f>
        <v>0</v>
      </c>
      <c r="AN98" s="12">
        <f>-IF(COUNT($F$77:AN77)&lt;=$F$51,$F$52/12,0)</f>
        <v>0</v>
      </c>
      <c r="AO98" s="12">
        <f>-IF(COUNT($F$77:AO77)&lt;=$F$51,$F$52/12,0)</f>
        <v>0</v>
      </c>
      <c r="AP98" s="12">
        <f>-IF(COUNT($F$77:AP77)&lt;=$F$51,$F$52/12,0)</f>
        <v>0</v>
      </c>
      <c r="AQ98" s="12">
        <f>-IF(COUNT($F$77:AQ77)&lt;=$F$51,$F$52/12,0)</f>
        <v>0</v>
      </c>
      <c r="AR98" s="12">
        <f>-IF(COUNT($F$77:AR77)&lt;=$F$51,$F$52/12,0)</f>
        <v>0</v>
      </c>
      <c r="AS98" s="12">
        <f>-IF(COUNT($F$77:AS77)&lt;=$F$51,$F$52/12,0)</f>
        <v>0</v>
      </c>
      <c r="AT98" s="12">
        <f>-IF(COUNT($F$77:AT77)&lt;=$F$51,$F$52/12,0)</f>
        <v>0</v>
      </c>
      <c r="AU98" s="12">
        <f>-IF(COUNT($F$77:AU77)&lt;=$F$51,$F$52/12,0)</f>
        <v>0</v>
      </c>
      <c r="AV98" s="12">
        <f>-IF(COUNT($F$77:AV77)&lt;=$F$51,$F$52/12,0)</f>
        <v>0</v>
      </c>
      <c r="AW98" s="12">
        <f>-IF(COUNT($F$77:AW77)&lt;=$F$51,$F$52/12,0)</f>
        <v>0</v>
      </c>
      <c r="AX98" s="12">
        <f>-IF(COUNT($F$77:AX77)&lt;=$F$51,$F$52/12,0)</f>
        <v>0</v>
      </c>
      <c r="AY98" s="12">
        <f>-IF(COUNT($F$77:AY77)&lt;=$F$51,$F$52/12,0)</f>
        <v>0</v>
      </c>
      <c r="AZ98" s="12">
        <f>-IF(COUNT($F$77:AZ77)&lt;=$F$51,$F$52/12,0)</f>
        <v>0</v>
      </c>
      <c r="BA98" s="12">
        <f>-IF(COUNT($F$77:BA77)&lt;=$F$51,$F$52/12,0)</f>
        <v>0</v>
      </c>
      <c r="BB98" s="12">
        <f>-IF(COUNT($F$77:BB77)&lt;=$F$51,$F$52/12,0)</f>
        <v>0</v>
      </c>
      <c r="BC98" s="12">
        <f>-IF(COUNT($F$77:BC77)&lt;=$F$51,$F$52/12,0)</f>
        <v>0</v>
      </c>
      <c r="BD98" s="12">
        <f>-IF(COUNT($F$77:BD77)&lt;=$F$51,$F$52/12,0)</f>
        <v>0</v>
      </c>
      <c r="BE98" s="12">
        <f>-IF(COUNT($F$77:BE77)&lt;=$F$51,$F$52/12,0)</f>
        <v>0</v>
      </c>
      <c r="BF98" s="12">
        <f>-IF(COUNT($F$77:BF77)&lt;=$F$51,$F$52/12,0)</f>
        <v>0</v>
      </c>
      <c r="BG98" s="12">
        <f>-IF(COUNT($F$77:BG77)&lt;=$F$51,$F$52/12,0)</f>
        <v>0</v>
      </c>
      <c r="BH98" s="12">
        <f>-IF(COUNT($F$77:BH77)&lt;=$F$51,$F$52/12,0)</f>
        <v>0</v>
      </c>
      <c r="BI98" s="12">
        <f>-IF(COUNT($F$77:BI77)&lt;=$F$51,$F$52/12,0)</f>
        <v>0</v>
      </c>
      <c r="BJ98" s="12">
        <f>-IF(COUNT($F$77:BJ77)&lt;=$F$51,$F$52/12,0)</f>
        <v>0</v>
      </c>
      <c r="BK98" s="12">
        <f>-IF(COUNT($F$77:BK77)&lt;=$F$51,$F$52/12,0)</f>
        <v>0</v>
      </c>
      <c r="BL98" s="12">
        <f>-IF(COUNT($F$77:BL77)&lt;=$F$51,$F$52/12,0)</f>
        <v>0</v>
      </c>
      <c r="BM98" s="12">
        <f>-IF(COUNT($F$77:BM77)&lt;=$F$51,$F$52/12,0)</f>
        <v>0</v>
      </c>
    </row>
    <row r="99" spans="2:76" s="1" customFormat="1" ht="10" x14ac:dyDescent="0.15">
      <c r="B99" s="12" t="s">
        <v>82</v>
      </c>
      <c r="E99" s="12">
        <f>-IF(COUNT(E$77:$F77)=$F$51,$F$50,0)</f>
        <v>0</v>
      </c>
      <c r="F99" s="12">
        <f>-IF(COUNT(F$77:$F77)=$F$51,$F$50,0)</f>
        <v>0</v>
      </c>
      <c r="G99" s="12">
        <f>-IF(COUNT($F$77:G77)=$F$51,$F$50,0)</f>
        <v>0</v>
      </c>
      <c r="H99" s="12">
        <f>-IF(COUNT($F$77:H77)=$F$51,$F$50,0)</f>
        <v>0</v>
      </c>
      <c r="I99" s="12">
        <f>-IF(COUNT($F$77:I77)=$F$51,$F$50,0)</f>
        <v>0</v>
      </c>
      <c r="J99" s="12">
        <f>-IF(COUNT($F$77:J77)=$F$51,$F$50,0)</f>
        <v>0</v>
      </c>
      <c r="K99" s="12">
        <f>-IF(COUNT($F$77:K77)=$F$51,$F$50,0)</f>
        <v>0</v>
      </c>
      <c r="L99" s="12">
        <f>-IF(COUNT($F$77:L77)=$F$51,$F$50,0)</f>
        <v>0</v>
      </c>
      <c r="M99" s="12">
        <f>-IF(COUNT($F$77:M77)=$F$51,$F$50,0)</f>
        <v>0</v>
      </c>
      <c r="N99" s="12">
        <f>-IF(COUNT($F$77:N77)=$F$51,$F$50,0)</f>
        <v>0</v>
      </c>
      <c r="O99" s="12">
        <f>-IF(COUNT($F$77:O77)=$F$51,$F$50,0)</f>
        <v>0</v>
      </c>
      <c r="P99" s="12">
        <f>-IF(COUNT($F$77:P77)=$F$51,$F$50,0)</f>
        <v>0</v>
      </c>
      <c r="Q99" s="12">
        <f>-IF(COUNT($F$77:Q77)=$F$51,$F$50,0)</f>
        <v>-52500</v>
      </c>
      <c r="R99" s="12">
        <f>-IF(COUNT($F$77:R77)=$F$51,$F$50,0)</f>
        <v>0</v>
      </c>
      <c r="S99" s="12">
        <f>-IF(COUNT($F$77:S77)=$F$51,$F$50,0)</f>
        <v>0</v>
      </c>
      <c r="T99" s="12">
        <f>-IF(COUNT($F$77:T77)=$F$51,$F$50,0)</f>
        <v>0</v>
      </c>
      <c r="U99" s="12">
        <f>-IF(COUNT($F$77:U77)=$F$51,$F$50,0)</f>
        <v>0</v>
      </c>
      <c r="V99" s="12">
        <f>-IF(COUNT($F$77:V77)=$F$51,$F$50,0)</f>
        <v>0</v>
      </c>
      <c r="W99" s="12">
        <f>-IF(COUNT($F$77:W77)=$F$51,$F$50,0)</f>
        <v>0</v>
      </c>
      <c r="X99" s="12">
        <f>-IF(COUNT($F$77:X77)=$F$51,$F$50,0)</f>
        <v>0</v>
      </c>
      <c r="Y99" s="12">
        <f>-IF(COUNT($F$77:Y77)=$F$51,$F$50,0)</f>
        <v>0</v>
      </c>
      <c r="Z99" s="12">
        <f>-IF(COUNT($F$77:Z77)=$F$51,$F$50,0)</f>
        <v>0</v>
      </c>
      <c r="AA99" s="12">
        <f>-IF(COUNT($F$77:AA77)=$F$51,$F$50,0)</f>
        <v>0</v>
      </c>
      <c r="AB99" s="12">
        <f>-IF(COUNT($F$77:AB77)=$F$51,$F$50,0)</f>
        <v>0</v>
      </c>
      <c r="AC99" s="12">
        <f>-IF(COUNT($F$77:AC77)=$F$51,$F$50,0)</f>
        <v>0</v>
      </c>
      <c r="AD99" s="12">
        <f>-IF(COUNT($F$77:AD77)=$F$51,$F$50,0)</f>
        <v>0</v>
      </c>
      <c r="AE99" s="12">
        <f>-IF(COUNT($F$77:AE77)=$F$51,$F$50,0)</f>
        <v>0</v>
      </c>
      <c r="AF99" s="12">
        <f>-IF(COUNT($F$77:AF77)=$F$51,$F$50,0)</f>
        <v>0</v>
      </c>
      <c r="AG99" s="12">
        <f>-IF(COUNT($F$77:AG77)=$F$51,$F$50,0)</f>
        <v>0</v>
      </c>
      <c r="AH99" s="12">
        <f>-IF(COUNT($F$77:AH77)=$F$51,$F$50,0)</f>
        <v>0</v>
      </c>
      <c r="AI99" s="12">
        <f>-IF(COUNT($F$77:AI77)=$F$51,$F$50,0)</f>
        <v>0</v>
      </c>
      <c r="AJ99" s="12">
        <f>-IF(COUNT($F$77:AJ77)=$F$51,$F$50,0)</f>
        <v>0</v>
      </c>
      <c r="AK99" s="12">
        <f>-IF(COUNT($F$77:AK77)=$F$51,$F$50,0)</f>
        <v>0</v>
      </c>
      <c r="AL99" s="12">
        <f>-IF(COUNT($F$77:AL77)=$F$51,$F$50,0)</f>
        <v>0</v>
      </c>
      <c r="AM99" s="12">
        <f>-IF(COUNT($F$77:AM77)=$F$51,$F$50,0)</f>
        <v>0</v>
      </c>
      <c r="AN99" s="12">
        <f>-IF(COUNT($F$77:AN77)=$F$51,$F$50,0)</f>
        <v>0</v>
      </c>
      <c r="AO99" s="12">
        <f>-IF(COUNT($F$77:AO77)=$F$51,$F$50,0)</f>
        <v>0</v>
      </c>
      <c r="AP99" s="12">
        <f>-IF(COUNT($F$77:AP77)=$F$51,$F$50,0)</f>
        <v>0</v>
      </c>
      <c r="AQ99" s="12">
        <f>-IF(COUNT($F$77:AQ77)=$F$51,$F$50,0)</f>
        <v>0</v>
      </c>
      <c r="AR99" s="12">
        <f>-IF(COUNT($F$77:AR77)=$F$51,$F$50,0)</f>
        <v>0</v>
      </c>
      <c r="AS99" s="12">
        <f>-IF(COUNT($F$77:AS77)=$F$51,$F$50,0)</f>
        <v>0</v>
      </c>
      <c r="AT99" s="12">
        <f>-IF(COUNT($F$77:AT77)=$F$51,$F$50,0)</f>
        <v>0</v>
      </c>
      <c r="AU99" s="12">
        <f>-IF(COUNT($F$77:AU77)=$F$51,$F$50,0)</f>
        <v>0</v>
      </c>
      <c r="AV99" s="12">
        <f>-IF(COUNT($F$77:AV77)=$F$51,$F$50,0)</f>
        <v>0</v>
      </c>
      <c r="AW99" s="12">
        <f>-IF(COUNT($F$77:AW77)=$F$51,$F$50,0)</f>
        <v>0</v>
      </c>
      <c r="AX99" s="12">
        <f>-IF(COUNT($F$77:AX77)=$F$51,$F$50,0)</f>
        <v>0</v>
      </c>
      <c r="AY99" s="12">
        <f>-IF(COUNT($F$77:AY77)=$F$51,$F$50,0)</f>
        <v>0</v>
      </c>
      <c r="AZ99" s="12">
        <f>-IF(COUNT($F$77:AZ77)=$F$51,$F$50,0)</f>
        <v>0</v>
      </c>
      <c r="BA99" s="12">
        <f>-IF(COUNT($F$77:BA77)=$F$51,$F$50,0)</f>
        <v>0</v>
      </c>
      <c r="BB99" s="12">
        <f>-IF(COUNT($F$77:BB77)=$F$51,$F$50,0)</f>
        <v>0</v>
      </c>
      <c r="BC99" s="12">
        <f>-IF(COUNT($F$77:BC77)=$F$51,$F$50,0)</f>
        <v>0</v>
      </c>
      <c r="BD99" s="12">
        <f>-IF(COUNT($F$77:BD77)=$F$51,$F$50,0)</f>
        <v>0</v>
      </c>
      <c r="BE99" s="12">
        <f>-IF(COUNT($F$77:BE77)=$F$51,$F$50,0)</f>
        <v>0</v>
      </c>
      <c r="BF99" s="12">
        <f>-IF(COUNT($F$77:BF77)=$F$51,$F$50,0)</f>
        <v>0</v>
      </c>
      <c r="BG99" s="12">
        <f>-IF(COUNT($F$77:BG77)=$F$51,$F$50,0)</f>
        <v>0</v>
      </c>
      <c r="BH99" s="12">
        <f>-IF(COUNT($F$77:BH77)=$F$51,$F$50,0)</f>
        <v>0</v>
      </c>
      <c r="BI99" s="12">
        <f>-IF(COUNT($F$77:BI77)=$F$51,$F$50,0)</f>
        <v>0</v>
      </c>
      <c r="BJ99" s="12">
        <f>-IF(COUNT($F$77:BJ77)=$F$51,$F$50,0)</f>
        <v>0</v>
      </c>
      <c r="BK99" s="12">
        <f>-IF(COUNT($F$77:BK77)=$F$51,$F$50,0)</f>
        <v>0</v>
      </c>
      <c r="BL99" s="12">
        <f>-IF(COUNT($F$77:BL77)=$F$51,$F$50,0)</f>
        <v>0</v>
      </c>
      <c r="BM99" s="12">
        <f>-IF(COUNT($F$77:BM77)=$F$51,$F$50,0)</f>
        <v>0</v>
      </c>
    </row>
    <row r="100" spans="2:76" s="1" customFormat="1" ht="10" x14ac:dyDescent="0.15">
      <c r="B100" s="48" t="s">
        <v>81</v>
      </c>
      <c r="C100" s="49"/>
      <c r="D100" s="49"/>
      <c r="E100" s="48">
        <f>F67</f>
        <v>25000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  <c r="AR100" s="48">
        <v>0</v>
      </c>
      <c r="AS100" s="48">
        <v>0</v>
      </c>
      <c r="AT100" s="48">
        <v>0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0</v>
      </c>
      <c r="BB100" s="48">
        <v>0</v>
      </c>
      <c r="BC100" s="48">
        <v>0</v>
      </c>
      <c r="BD100" s="48">
        <v>0</v>
      </c>
      <c r="BE100" s="48">
        <v>0</v>
      </c>
      <c r="BF100" s="48">
        <v>0</v>
      </c>
      <c r="BG100" s="48"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</row>
    <row r="101" spans="2:76" s="1" customFormat="1" ht="10" x14ac:dyDescent="0.15">
      <c r="B101" s="48" t="str">
        <f>B97</f>
        <v>Lender Fees</v>
      </c>
      <c r="C101" s="49"/>
      <c r="D101" s="49"/>
      <c r="E101" s="48">
        <f t="shared" ref="E101:AJ101" si="35">IF(E76=0,-$F$70,0)</f>
        <v>-250</v>
      </c>
      <c r="F101" s="48">
        <f t="shared" si="35"/>
        <v>0</v>
      </c>
      <c r="G101" s="48">
        <f t="shared" si="35"/>
        <v>0</v>
      </c>
      <c r="H101" s="48">
        <f t="shared" si="35"/>
        <v>0</v>
      </c>
      <c r="I101" s="48">
        <f t="shared" si="35"/>
        <v>0</v>
      </c>
      <c r="J101" s="48">
        <f t="shared" si="35"/>
        <v>0</v>
      </c>
      <c r="K101" s="48">
        <f t="shared" si="35"/>
        <v>0</v>
      </c>
      <c r="L101" s="48">
        <f t="shared" si="35"/>
        <v>0</v>
      </c>
      <c r="M101" s="48">
        <f t="shared" si="35"/>
        <v>0</v>
      </c>
      <c r="N101" s="48">
        <f t="shared" si="35"/>
        <v>0</v>
      </c>
      <c r="O101" s="48">
        <f t="shared" si="35"/>
        <v>0</v>
      </c>
      <c r="P101" s="48">
        <f t="shared" si="35"/>
        <v>0</v>
      </c>
      <c r="Q101" s="48">
        <f t="shared" si="35"/>
        <v>0</v>
      </c>
      <c r="R101" s="48">
        <f t="shared" si="35"/>
        <v>0</v>
      </c>
      <c r="S101" s="48">
        <f t="shared" si="35"/>
        <v>0</v>
      </c>
      <c r="T101" s="48">
        <f t="shared" si="35"/>
        <v>0</v>
      </c>
      <c r="U101" s="48">
        <f t="shared" si="35"/>
        <v>0</v>
      </c>
      <c r="V101" s="48">
        <f t="shared" si="35"/>
        <v>0</v>
      </c>
      <c r="W101" s="48">
        <f t="shared" si="35"/>
        <v>0</v>
      </c>
      <c r="X101" s="48">
        <f t="shared" si="35"/>
        <v>0</v>
      </c>
      <c r="Y101" s="48">
        <f t="shared" si="35"/>
        <v>0</v>
      </c>
      <c r="Z101" s="48">
        <f t="shared" si="35"/>
        <v>0</v>
      </c>
      <c r="AA101" s="48">
        <f t="shared" si="35"/>
        <v>0</v>
      </c>
      <c r="AB101" s="48">
        <f t="shared" si="35"/>
        <v>0</v>
      </c>
      <c r="AC101" s="48">
        <f t="shared" si="35"/>
        <v>0</v>
      </c>
      <c r="AD101" s="48">
        <f t="shared" si="35"/>
        <v>0</v>
      </c>
      <c r="AE101" s="48">
        <f t="shared" si="35"/>
        <v>0</v>
      </c>
      <c r="AF101" s="48">
        <f t="shared" si="35"/>
        <v>0</v>
      </c>
      <c r="AG101" s="48">
        <f t="shared" si="35"/>
        <v>0</v>
      </c>
      <c r="AH101" s="48">
        <f t="shared" si="35"/>
        <v>0</v>
      </c>
      <c r="AI101" s="48">
        <f t="shared" si="35"/>
        <v>0</v>
      </c>
      <c r="AJ101" s="48">
        <f t="shared" si="35"/>
        <v>0</v>
      </c>
      <c r="AK101" s="48">
        <f t="shared" ref="AK101:BM101" si="36">IF(AK76=0,-$F$70,0)</f>
        <v>0</v>
      </c>
      <c r="AL101" s="48">
        <f t="shared" si="36"/>
        <v>0</v>
      </c>
      <c r="AM101" s="48">
        <f t="shared" si="36"/>
        <v>0</v>
      </c>
      <c r="AN101" s="48">
        <f t="shared" si="36"/>
        <v>0</v>
      </c>
      <c r="AO101" s="48">
        <f t="shared" si="36"/>
        <v>0</v>
      </c>
      <c r="AP101" s="48">
        <f t="shared" si="36"/>
        <v>0</v>
      </c>
      <c r="AQ101" s="48">
        <f t="shared" si="36"/>
        <v>0</v>
      </c>
      <c r="AR101" s="48">
        <f t="shared" si="36"/>
        <v>0</v>
      </c>
      <c r="AS101" s="48">
        <f t="shared" si="36"/>
        <v>0</v>
      </c>
      <c r="AT101" s="48">
        <f t="shared" si="36"/>
        <v>0</v>
      </c>
      <c r="AU101" s="48">
        <f t="shared" si="36"/>
        <v>0</v>
      </c>
      <c r="AV101" s="48">
        <f t="shared" si="36"/>
        <v>0</v>
      </c>
      <c r="AW101" s="48">
        <f t="shared" si="36"/>
        <v>0</v>
      </c>
      <c r="AX101" s="48">
        <f t="shared" si="36"/>
        <v>0</v>
      </c>
      <c r="AY101" s="48">
        <f t="shared" si="36"/>
        <v>0</v>
      </c>
      <c r="AZ101" s="48">
        <f t="shared" si="36"/>
        <v>0</v>
      </c>
      <c r="BA101" s="48">
        <f t="shared" si="36"/>
        <v>0</v>
      </c>
      <c r="BB101" s="48">
        <f t="shared" si="36"/>
        <v>0</v>
      </c>
      <c r="BC101" s="48">
        <f t="shared" si="36"/>
        <v>0</v>
      </c>
      <c r="BD101" s="48">
        <f t="shared" si="36"/>
        <v>0</v>
      </c>
      <c r="BE101" s="48">
        <f t="shared" si="36"/>
        <v>0</v>
      </c>
      <c r="BF101" s="48">
        <f t="shared" si="36"/>
        <v>0</v>
      </c>
      <c r="BG101" s="48">
        <f t="shared" si="36"/>
        <v>0</v>
      </c>
      <c r="BH101" s="48">
        <f t="shared" si="36"/>
        <v>0</v>
      </c>
      <c r="BI101" s="48">
        <f t="shared" si="36"/>
        <v>0</v>
      </c>
      <c r="BJ101" s="48">
        <f t="shared" si="36"/>
        <v>0</v>
      </c>
      <c r="BK101" s="48">
        <f t="shared" si="36"/>
        <v>0</v>
      </c>
      <c r="BL101" s="48">
        <f t="shared" si="36"/>
        <v>0</v>
      </c>
      <c r="BM101" s="48">
        <f t="shared" si="36"/>
        <v>0</v>
      </c>
    </row>
    <row r="102" spans="2:76" s="1" customFormat="1" ht="10" x14ac:dyDescent="0.15">
      <c r="B102" s="48" t="str">
        <f>B98</f>
        <v>Interest</v>
      </c>
      <c r="C102" s="49"/>
      <c r="D102" s="49"/>
      <c r="E102" s="48"/>
      <c r="F102" s="48">
        <f>-IF(COUNT(F$77:$F77)&lt;=$F$68,$F$69/12,0)</f>
        <v>-125</v>
      </c>
      <c r="G102" s="48">
        <f>-IF(COUNT($F$77:G77)&lt;=$F$68,$F$69/12,0)</f>
        <v>-125</v>
      </c>
      <c r="H102" s="48">
        <f>-IF(COUNT($F$77:H77)&lt;=$F$68,$F$69/12,0)</f>
        <v>-125</v>
      </c>
      <c r="I102" s="48">
        <f>-IF(COUNT($F$77:I77)&lt;=$F$68,$F$69/12,0)</f>
        <v>-125</v>
      </c>
      <c r="J102" s="48">
        <f>-IF(COUNT($F$77:J77)&lt;=$F$68,$F$69/12,0)</f>
        <v>-125</v>
      </c>
      <c r="K102" s="48">
        <f>-IF(COUNT($F$77:K77)&lt;=$F$68,$F$69/12,0)</f>
        <v>-125</v>
      </c>
      <c r="L102" s="48">
        <f>-IF(COUNT($F$77:L77)&lt;=$F$68,$F$69/12,0)</f>
        <v>-125</v>
      </c>
      <c r="M102" s="48">
        <f>-IF(COUNT($F$77:M77)&lt;=$F$68,$F$69/12,0)</f>
        <v>-125</v>
      </c>
      <c r="N102" s="48">
        <f>-IF(COUNT($F$77:N77)&lt;=$F$68,$F$69/12,0)</f>
        <v>-125</v>
      </c>
      <c r="O102" s="48">
        <f>-IF(COUNT($F$77:O77)&lt;=$F$68,$F$69/12,0)</f>
        <v>-125</v>
      </c>
      <c r="P102" s="48">
        <f>-IF(COUNT($F$77:P77)&lt;=$F$68,$F$69/12,0)</f>
        <v>-125</v>
      </c>
      <c r="Q102" s="48">
        <f>-IF(COUNT($F$77:Q77)&lt;=$F$68,$F$69/12,0)</f>
        <v>-125</v>
      </c>
      <c r="R102" s="48">
        <f>-IF(COUNT($F$77:R77)&lt;=$F$68,$F$69/12,0)</f>
        <v>0</v>
      </c>
      <c r="S102" s="48">
        <f>-IF(COUNT($F$77:S77)&lt;=$F$68,$F$69/12,0)</f>
        <v>0</v>
      </c>
      <c r="T102" s="48">
        <f>-IF(COUNT($F$77:T77)&lt;=$F$68,$F$69/12,0)</f>
        <v>0</v>
      </c>
      <c r="U102" s="48">
        <f>-IF(COUNT($F$77:U77)&lt;=$F$68,$F$69/12,0)</f>
        <v>0</v>
      </c>
      <c r="V102" s="48">
        <f>-IF(COUNT($F$77:V77)&lt;=$F$68,$F$69/12,0)</f>
        <v>0</v>
      </c>
      <c r="W102" s="48">
        <f>-IF(COUNT($F$77:W77)&lt;=$F$68,$F$69/12,0)</f>
        <v>0</v>
      </c>
      <c r="X102" s="48">
        <f>-IF(COUNT($F$77:X77)&lt;=$F$68,$F$69/12,0)</f>
        <v>0</v>
      </c>
      <c r="Y102" s="48">
        <f>-IF(COUNT($F$77:Y77)&lt;=$F$68,$F$69/12,0)</f>
        <v>0</v>
      </c>
      <c r="Z102" s="48">
        <f>-IF(COUNT($F$77:Z77)&lt;=$F$68,$F$69/12,0)</f>
        <v>0</v>
      </c>
      <c r="AA102" s="48">
        <f>-IF(COUNT($F$77:AA77)&lt;=$F$68,$F$69/12,0)</f>
        <v>0</v>
      </c>
      <c r="AB102" s="48">
        <f>-IF(COUNT($F$77:AB77)&lt;=$F$68,$F$69/12,0)</f>
        <v>0</v>
      </c>
      <c r="AC102" s="48">
        <f>-IF(COUNT($F$77:AC77)&lt;=$F$68,$F$69/12,0)</f>
        <v>0</v>
      </c>
      <c r="AD102" s="48">
        <f>-IF(COUNT($F$77:AD77)&lt;=$F$68,$F$69/12,0)</f>
        <v>0</v>
      </c>
      <c r="AE102" s="48">
        <f>-IF(COUNT($F$77:AE77)&lt;=$F$68,$F$69/12,0)</f>
        <v>0</v>
      </c>
      <c r="AF102" s="48">
        <f>-IF(COUNT($F$77:AF77)&lt;=$F$68,$F$69/12,0)</f>
        <v>0</v>
      </c>
      <c r="AG102" s="48">
        <f>-IF(COUNT($F$77:AG77)&lt;=$F$68,$F$69/12,0)</f>
        <v>0</v>
      </c>
      <c r="AH102" s="48">
        <f>-IF(COUNT($F$77:AH77)&lt;=$F$68,$F$69/12,0)</f>
        <v>0</v>
      </c>
      <c r="AI102" s="48">
        <f>-IF(COUNT($F$77:AI77)&lt;=$F$68,$F$69/12,0)</f>
        <v>0</v>
      </c>
      <c r="AJ102" s="48">
        <f>-IF(COUNT($F$77:AJ77)&lt;=$F$68,$F$69/12,0)</f>
        <v>0</v>
      </c>
      <c r="AK102" s="48">
        <f>-IF(COUNT($F$77:AK77)&lt;=$F$68,$F$69/12,0)</f>
        <v>0</v>
      </c>
      <c r="AL102" s="48">
        <f>-IF(COUNT($F$77:AL77)&lt;=$F$68,$F$69/12,0)</f>
        <v>0</v>
      </c>
      <c r="AM102" s="48">
        <f>-IF(COUNT($F$77:AM77)&lt;=$F$68,$F$69/12,0)</f>
        <v>0</v>
      </c>
      <c r="AN102" s="48">
        <f>-IF(COUNT($F$77:AN77)&lt;=$F$68,$F$69/12,0)</f>
        <v>0</v>
      </c>
      <c r="AO102" s="48">
        <f>-IF(COUNT($F$77:AO77)&lt;=$F$68,$F$69/12,0)</f>
        <v>0</v>
      </c>
      <c r="AP102" s="48">
        <f>-IF(COUNT($F$77:AP77)&lt;=$F$68,$F$69/12,0)</f>
        <v>0</v>
      </c>
      <c r="AQ102" s="48">
        <f>-IF(COUNT($F$77:AQ77)&lt;=$F$68,$F$69/12,0)</f>
        <v>0</v>
      </c>
      <c r="AR102" s="48">
        <f>-IF(COUNT($F$77:AR77)&lt;=$F$68,$F$69/12,0)</f>
        <v>0</v>
      </c>
      <c r="AS102" s="48">
        <f>-IF(COUNT($F$77:AS77)&lt;=$F$68,$F$69/12,0)</f>
        <v>0</v>
      </c>
      <c r="AT102" s="48">
        <f>-IF(COUNT($F$77:AT77)&lt;=$F$68,$F$69/12,0)</f>
        <v>0</v>
      </c>
      <c r="AU102" s="48">
        <f>-IF(COUNT($F$77:AU77)&lt;=$F$68,$F$69/12,0)</f>
        <v>0</v>
      </c>
      <c r="AV102" s="48">
        <f>-IF(COUNT($F$77:AV77)&lt;=$F$68,$F$69/12,0)</f>
        <v>0</v>
      </c>
      <c r="AW102" s="48">
        <f>-IF(COUNT($F$77:AW77)&lt;=$F$68,$F$69/12,0)</f>
        <v>0</v>
      </c>
      <c r="AX102" s="48">
        <f>-IF(COUNT($F$77:AX77)&lt;=$F$68,$F$69/12,0)</f>
        <v>0</v>
      </c>
      <c r="AY102" s="48">
        <f>-IF(COUNT($F$77:AY77)&lt;=$F$68,$F$69/12,0)</f>
        <v>0</v>
      </c>
      <c r="AZ102" s="48">
        <f>-IF(COUNT($F$77:AZ77)&lt;=$F$68,$F$69/12,0)</f>
        <v>0</v>
      </c>
      <c r="BA102" s="48">
        <f>-IF(COUNT($F$77:BA77)&lt;=$F$68,$F$69/12,0)</f>
        <v>0</v>
      </c>
      <c r="BB102" s="48">
        <f>-IF(COUNT($F$77:BB77)&lt;=$F$68,$F$69/12,0)</f>
        <v>0</v>
      </c>
      <c r="BC102" s="48">
        <f>-IF(COUNT($F$77:BC77)&lt;=$F$68,$F$69/12,0)</f>
        <v>0</v>
      </c>
      <c r="BD102" s="48">
        <f>-IF(COUNT($F$77:BD77)&lt;=$F$68,$F$69/12,0)</f>
        <v>0</v>
      </c>
      <c r="BE102" s="48">
        <f>-IF(COUNT($F$77:BE77)&lt;=$F$68,$F$69/12,0)</f>
        <v>0</v>
      </c>
      <c r="BF102" s="48">
        <f>-IF(COUNT($F$77:BF77)&lt;=$F$68,$F$69/12,0)</f>
        <v>0</v>
      </c>
      <c r="BG102" s="48">
        <f>-IF(COUNT($F$77:BG77)&lt;=$F$68,$F$69/12,0)</f>
        <v>0</v>
      </c>
      <c r="BH102" s="48">
        <f>-IF(COUNT($F$77:BH77)&lt;=$F$68,$F$69/12,0)</f>
        <v>0</v>
      </c>
      <c r="BI102" s="48">
        <f>-IF(COUNT($F$77:BI77)&lt;=$F$68,$F$69/12,0)</f>
        <v>0</v>
      </c>
      <c r="BJ102" s="48">
        <f>-IF(COUNT($F$77:BJ77)&lt;=$F$68,$F$69/12,0)</f>
        <v>0</v>
      </c>
      <c r="BK102" s="48">
        <f>-IF(COUNT($F$77:BK77)&lt;=$F$68,$F$69/12,0)</f>
        <v>0</v>
      </c>
      <c r="BL102" s="48">
        <f>-IF(COUNT($F$77:BL77)&lt;=$F$68,$F$69/12,0)</f>
        <v>0</v>
      </c>
      <c r="BM102" s="48">
        <f>-IF(COUNT($F$77:BM77)&lt;=$F$68,$F$69/12,0)</f>
        <v>0</v>
      </c>
    </row>
    <row r="103" spans="2:76" s="1" customFormat="1" ht="10" x14ac:dyDescent="0.15">
      <c r="B103" s="48" t="s">
        <v>83</v>
      </c>
      <c r="C103" s="49"/>
      <c r="D103" s="49"/>
      <c r="E103" s="48">
        <f>-IF(COUNT(E$77:$F77)=$F$68,$F$67,0)</f>
        <v>0</v>
      </c>
      <c r="F103" s="48">
        <f>-IF(COUNT(F$77:$F77)=$F$68,$F$67,0)</f>
        <v>0</v>
      </c>
      <c r="G103" s="48">
        <f>-IF(COUNT($F$77:G77)=$F$68,$F$67,0)</f>
        <v>0</v>
      </c>
      <c r="H103" s="48">
        <f>-IF(COUNT($F$77:H77)=$F$68,$F$67,0)</f>
        <v>0</v>
      </c>
      <c r="I103" s="48">
        <f>-IF(COUNT($F$77:I77)=$F$68,$F$67,0)</f>
        <v>0</v>
      </c>
      <c r="J103" s="48">
        <f>-IF(COUNT($F$77:J77)=$F$68,$F$67,0)</f>
        <v>0</v>
      </c>
      <c r="K103" s="48">
        <f>-IF(COUNT($F$77:K77)=$F$68,$F$67,0)</f>
        <v>0</v>
      </c>
      <c r="L103" s="48">
        <f>-IF(COUNT($F$77:L77)=$F$68,$F$67,0)</f>
        <v>0</v>
      </c>
      <c r="M103" s="48">
        <f>-IF(COUNT($F$77:M77)=$F$68,$F$67,0)</f>
        <v>0</v>
      </c>
      <c r="N103" s="48">
        <f>-IF(COUNT($F$77:N77)=$F$68,$F$67,0)</f>
        <v>0</v>
      </c>
      <c r="O103" s="48">
        <f>-IF(COUNT($F$77:O77)=$F$68,$F$67,0)</f>
        <v>0</v>
      </c>
      <c r="P103" s="48">
        <f>-IF(COUNT($F$77:P77)=$F$68,$F$67,0)</f>
        <v>0</v>
      </c>
      <c r="Q103" s="48">
        <f>-IF(COUNT($F$77:Q77)=$F$68,$F$67,0)</f>
        <v>-25000</v>
      </c>
      <c r="R103" s="48">
        <f>-IF(COUNT($F$77:R77)=$F$68,$F$67,0)</f>
        <v>0</v>
      </c>
      <c r="S103" s="48">
        <f>-IF(COUNT($F$77:S77)=$F$68,$F$67,0)</f>
        <v>0</v>
      </c>
      <c r="T103" s="48">
        <f>-IF(COUNT($F$77:T77)=$F$68,$F$67,0)</f>
        <v>0</v>
      </c>
      <c r="U103" s="48">
        <f>-IF(COUNT($F$77:U77)=$F$68,$F$67,0)</f>
        <v>0</v>
      </c>
      <c r="V103" s="48">
        <f>-IF(COUNT($F$77:V77)=$F$68,$F$67,0)</f>
        <v>0</v>
      </c>
      <c r="W103" s="48">
        <f>-IF(COUNT($F$77:W77)=$F$68,$F$67,0)</f>
        <v>0</v>
      </c>
      <c r="X103" s="48">
        <f>-IF(COUNT($F$77:X77)=$F$68,$F$67,0)</f>
        <v>0</v>
      </c>
      <c r="Y103" s="48">
        <f>-IF(COUNT($F$77:Y77)=$F$68,$F$67,0)</f>
        <v>0</v>
      </c>
      <c r="Z103" s="48">
        <f>-IF(COUNT($F$77:Z77)=$F$68,$F$67,0)</f>
        <v>0</v>
      </c>
      <c r="AA103" s="48">
        <f>-IF(COUNT($F$77:AA77)=$F$68,$F$67,0)</f>
        <v>0</v>
      </c>
      <c r="AB103" s="48">
        <f>-IF(COUNT($F$77:AB77)=$F$68,$F$67,0)</f>
        <v>0</v>
      </c>
      <c r="AC103" s="48">
        <f>-IF(COUNT($F$77:AC77)=$F$68,$F$67,0)</f>
        <v>0</v>
      </c>
      <c r="AD103" s="48">
        <f>-IF(COUNT($F$77:AD77)=$F$68,$F$67,0)</f>
        <v>0</v>
      </c>
      <c r="AE103" s="48">
        <f>-IF(COUNT($F$77:AE77)=$F$68,$F$67,0)</f>
        <v>0</v>
      </c>
      <c r="AF103" s="48">
        <f>-IF(COUNT($F$77:AF77)=$F$68,$F$67,0)</f>
        <v>0</v>
      </c>
      <c r="AG103" s="48">
        <f>-IF(COUNT($F$77:AG77)=$F$68,$F$67,0)</f>
        <v>0</v>
      </c>
      <c r="AH103" s="48">
        <f>-IF(COUNT($F$77:AH77)=$F$68,$F$67,0)</f>
        <v>0</v>
      </c>
      <c r="AI103" s="48">
        <f>-IF(COUNT($F$77:AI77)=$F$68,$F$67,0)</f>
        <v>0</v>
      </c>
      <c r="AJ103" s="48">
        <f>-IF(COUNT($F$77:AJ77)=$F$68,$F$67,0)</f>
        <v>0</v>
      </c>
      <c r="AK103" s="48">
        <f>-IF(COUNT($F$77:AK77)=$F$68,$F$67,0)</f>
        <v>0</v>
      </c>
      <c r="AL103" s="48">
        <f>-IF(COUNT($F$77:AL77)=$F$68,$F$67,0)</f>
        <v>0</v>
      </c>
      <c r="AM103" s="48">
        <f>-IF(COUNT($F$77:AM77)=$F$68,$F$67,0)</f>
        <v>0</v>
      </c>
      <c r="AN103" s="48">
        <f>-IF(COUNT($F$77:AN77)=$F$68,$F$67,0)</f>
        <v>0</v>
      </c>
      <c r="AO103" s="48">
        <f>-IF(COUNT($F$77:AO77)=$F$68,$F$67,0)</f>
        <v>0</v>
      </c>
      <c r="AP103" s="48">
        <f>-IF(COUNT($F$77:AP77)=$F$68,$F$67,0)</f>
        <v>0</v>
      </c>
      <c r="AQ103" s="48">
        <f>-IF(COUNT($F$77:AQ77)=$F$68,$F$67,0)</f>
        <v>0</v>
      </c>
      <c r="AR103" s="48">
        <f>-IF(COUNT($F$77:AR77)=$F$68,$F$67,0)</f>
        <v>0</v>
      </c>
      <c r="AS103" s="48">
        <f>-IF(COUNT($F$77:AS77)=$F$68,$F$67,0)</f>
        <v>0</v>
      </c>
      <c r="AT103" s="48">
        <f>-IF(COUNT($F$77:AT77)=$F$68,$F$67,0)</f>
        <v>0</v>
      </c>
      <c r="AU103" s="48">
        <f>-IF(COUNT($F$77:AU77)=$F$68,$F$67,0)</f>
        <v>0</v>
      </c>
      <c r="AV103" s="48">
        <f>-IF(COUNT($F$77:AV77)=$F$68,$F$67,0)</f>
        <v>0</v>
      </c>
      <c r="AW103" s="48">
        <f>-IF(COUNT($F$77:AW77)=$F$68,$F$67,0)</f>
        <v>0</v>
      </c>
      <c r="AX103" s="48">
        <f>-IF(COUNT($F$77:AX77)=$F$68,$F$67,0)</f>
        <v>0</v>
      </c>
      <c r="AY103" s="48">
        <f>-IF(COUNT($F$77:AY77)=$F$68,$F$67,0)</f>
        <v>0</v>
      </c>
      <c r="AZ103" s="48">
        <f>-IF(COUNT($F$77:AZ77)=$F$68,$F$67,0)</f>
        <v>0</v>
      </c>
      <c r="BA103" s="48">
        <f>-IF(COUNT($F$77:BA77)=$F$68,$F$67,0)</f>
        <v>0</v>
      </c>
      <c r="BB103" s="48">
        <f>-IF(COUNT($F$77:BB77)=$F$68,$F$67,0)</f>
        <v>0</v>
      </c>
      <c r="BC103" s="48">
        <f>-IF(COUNT($F$77:BC77)=$F$68,$F$67,0)</f>
        <v>0</v>
      </c>
      <c r="BD103" s="48">
        <f>-IF(COUNT($F$77:BD77)=$F$68,$F$67,0)</f>
        <v>0</v>
      </c>
      <c r="BE103" s="48">
        <f>-IF(COUNT($F$77:BE77)=$F$68,$F$67,0)</f>
        <v>0</v>
      </c>
      <c r="BF103" s="48">
        <f>-IF(COUNT($F$77:BF77)=$F$68,$F$67,0)</f>
        <v>0</v>
      </c>
      <c r="BG103" s="48">
        <f>-IF(COUNT($F$77:BG77)=$F$68,$F$67,0)</f>
        <v>0</v>
      </c>
      <c r="BH103" s="48">
        <f>-IF(COUNT($F$77:BH77)=$F$68,$F$67,0)</f>
        <v>0</v>
      </c>
      <c r="BI103" s="48">
        <f>-IF(COUNT($F$77:BI77)=$F$68,$F$67,0)</f>
        <v>0</v>
      </c>
      <c r="BJ103" s="48">
        <f>-IF(COUNT($F$77:BJ77)=$F$68,$F$67,0)</f>
        <v>0</v>
      </c>
      <c r="BK103" s="48">
        <f>-IF(COUNT($F$77:BK77)=$F$68,$F$67,0)</f>
        <v>0</v>
      </c>
      <c r="BL103" s="48">
        <f>-IF(COUNT($F$77:BL77)=$F$68,$F$67,0)</f>
        <v>0</v>
      </c>
      <c r="BM103" s="48">
        <f>-IF(COUNT($F$77:BM77)=$F$68,$F$67,0)</f>
        <v>0</v>
      </c>
    </row>
    <row r="104" spans="2:76" s="1" customFormat="1" ht="10" x14ac:dyDescent="0.15">
      <c r="B104" s="12" t="s">
        <v>89</v>
      </c>
      <c r="E104" s="12">
        <f t="shared" ref="E104:AJ104" si="37">IF(E99&lt;0,$L$62,0)</f>
        <v>0</v>
      </c>
      <c r="F104" s="12">
        <f t="shared" si="37"/>
        <v>0</v>
      </c>
      <c r="G104" s="12">
        <f t="shared" si="37"/>
        <v>0</v>
      </c>
      <c r="H104" s="12">
        <f t="shared" si="37"/>
        <v>0</v>
      </c>
      <c r="I104" s="12">
        <f t="shared" si="37"/>
        <v>0</v>
      </c>
      <c r="J104" s="12">
        <f t="shared" si="37"/>
        <v>0</v>
      </c>
      <c r="K104" s="12">
        <f t="shared" si="37"/>
        <v>0</v>
      </c>
      <c r="L104" s="12">
        <f t="shared" si="37"/>
        <v>0</v>
      </c>
      <c r="M104" s="12">
        <f t="shared" si="37"/>
        <v>0</v>
      </c>
      <c r="N104" s="12">
        <f t="shared" si="37"/>
        <v>0</v>
      </c>
      <c r="O104" s="12">
        <f t="shared" si="37"/>
        <v>0</v>
      </c>
      <c r="P104" s="12">
        <f t="shared" si="37"/>
        <v>0</v>
      </c>
      <c r="Q104" s="12">
        <f t="shared" si="37"/>
        <v>150000</v>
      </c>
      <c r="R104" s="12">
        <f t="shared" si="37"/>
        <v>0</v>
      </c>
      <c r="S104" s="12">
        <f t="shared" si="37"/>
        <v>0</v>
      </c>
      <c r="T104" s="12">
        <f t="shared" si="37"/>
        <v>0</v>
      </c>
      <c r="U104" s="12">
        <f t="shared" si="37"/>
        <v>0</v>
      </c>
      <c r="V104" s="12">
        <f t="shared" si="37"/>
        <v>0</v>
      </c>
      <c r="W104" s="12">
        <f t="shared" si="37"/>
        <v>0</v>
      </c>
      <c r="X104" s="12">
        <f t="shared" si="37"/>
        <v>0</v>
      </c>
      <c r="Y104" s="12">
        <f t="shared" si="37"/>
        <v>0</v>
      </c>
      <c r="Z104" s="12">
        <f t="shared" si="37"/>
        <v>0</v>
      </c>
      <c r="AA104" s="12">
        <f t="shared" si="37"/>
        <v>0</v>
      </c>
      <c r="AB104" s="12">
        <f t="shared" si="37"/>
        <v>0</v>
      </c>
      <c r="AC104" s="12">
        <f t="shared" si="37"/>
        <v>0</v>
      </c>
      <c r="AD104" s="12">
        <f t="shared" si="37"/>
        <v>0</v>
      </c>
      <c r="AE104" s="12">
        <f t="shared" si="37"/>
        <v>0</v>
      </c>
      <c r="AF104" s="12">
        <f t="shared" si="37"/>
        <v>0</v>
      </c>
      <c r="AG104" s="12">
        <f t="shared" si="37"/>
        <v>0</v>
      </c>
      <c r="AH104" s="12">
        <f t="shared" si="37"/>
        <v>0</v>
      </c>
      <c r="AI104" s="12">
        <f t="shared" si="37"/>
        <v>0</v>
      </c>
      <c r="AJ104" s="12">
        <f t="shared" si="37"/>
        <v>0</v>
      </c>
      <c r="AK104" s="12">
        <f t="shared" ref="AK104:BM104" si="38">IF(AK99&lt;0,$L$62,0)</f>
        <v>0</v>
      </c>
      <c r="AL104" s="12">
        <f t="shared" si="38"/>
        <v>0</v>
      </c>
      <c r="AM104" s="12">
        <f t="shared" si="38"/>
        <v>0</v>
      </c>
      <c r="AN104" s="12">
        <f t="shared" si="38"/>
        <v>0</v>
      </c>
      <c r="AO104" s="12">
        <f t="shared" si="38"/>
        <v>0</v>
      </c>
      <c r="AP104" s="12">
        <f t="shared" si="38"/>
        <v>0</v>
      </c>
      <c r="AQ104" s="12">
        <f t="shared" si="38"/>
        <v>0</v>
      </c>
      <c r="AR104" s="12">
        <f t="shared" si="38"/>
        <v>0</v>
      </c>
      <c r="AS104" s="12">
        <f t="shared" si="38"/>
        <v>0</v>
      </c>
      <c r="AT104" s="12">
        <f t="shared" si="38"/>
        <v>0</v>
      </c>
      <c r="AU104" s="12">
        <f t="shared" si="38"/>
        <v>0</v>
      </c>
      <c r="AV104" s="12">
        <f t="shared" si="38"/>
        <v>0</v>
      </c>
      <c r="AW104" s="12">
        <f t="shared" si="38"/>
        <v>0</v>
      </c>
      <c r="AX104" s="12">
        <f t="shared" si="38"/>
        <v>0</v>
      </c>
      <c r="AY104" s="12">
        <f t="shared" si="38"/>
        <v>0</v>
      </c>
      <c r="AZ104" s="12">
        <f t="shared" si="38"/>
        <v>0</v>
      </c>
      <c r="BA104" s="12">
        <f t="shared" si="38"/>
        <v>0</v>
      </c>
      <c r="BB104" s="12">
        <f t="shared" si="38"/>
        <v>0</v>
      </c>
      <c r="BC104" s="12">
        <f t="shared" si="38"/>
        <v>0</v>
      </c>
      <c r="BD104" s="12">
        <f t="shared" si="38"/>
        <v>0</v>
      </c>
      <c r="BE104" s="12">
        <f t="shared" si="38"/>
        <v>0</v>
      </c>
      <c r="BF104" s="12">
        <f t="shared" si="38"/>
        <v>0</v>
      </c>
      <c r="BG104" s="12">
        <f t="shared" si="38"/>
        <v>0</v>
      </c>
      <c r="BH104" s="12">
        <f t="shared" si="38"/>
        <v>0</v>
      </c>
      <c r="BI104" s="12">
        <f t="shared" si="38"/>
        <v>0</v>
      </c>
      <c r="BJ104" s="12">
        <f t="shared" si="38"/>
        <v>0</v>
      </c>
      <c r="BK104" s="12">
        <f t="shared" si="38"/>
        <v>0</v>
      </c>
      <c r="BL104" s="12">
        <f t="shared" si="38"/>
        <v>0</v>
      </c>
      <c r="BM104" s="12">
        <f t="shared" si="38"/>
        <v>0</v>
      </c>
    </row>
    <row r="105" spans="2:76" s="1" customFormat="1" ht="10" x14ac:dyDescent="0.15">
      <c r="B105" s="12" t="str">
        <f>B101</f>
        <v>Lender Fees</v>
      </c>
      <c r="E105" s="12">
        <f t="shared" ref="E105:AJ105" si="39">IF(E104&gt;0,-$L$63,0)</f>
        <v>0</v>
      </c>
      <c r="F105" s="12">
        <f t="shared" si="39"/>
        <v>0</v>
      </c>
      <c r="G105" s="12">
        <f t="shared" si="39"/>
        <v>0</v>
      </c>
      <c r="H105" s="12">
        <f t="shared" si="39"/>
        <v>0</v>
      </c>
      <c r="I105" s="12">
        <f t="shared" si="39"/>
        <v>0</v>
      </c>
      <c r="J105" s="12">
        <f t="shared" si="39"/>
        <v>0</v>
      </c>
      <c r="K105" s="12">
        <f t="shared" si="39"/>
        <v>0</v>
      </c>
      <c r="L105" s="12">
        <f t="shared" si="39"/>
        <v>0</v>
      </c>
      <c r="M105" s="12">
        <f t="shared" si="39"/>
        <v>0</v>
      </c>
      <c r="N105" s="12">
        <f t="shared" si="39"/>
        <v>0</v>
      </c>
      <c r="O105" s="12">
        <f t="shared" si="39"/>
        <v>0</v>
      </c>
      <c r="P105" s="12">
        <f t="shared" si="39"/>
        <v>0</v>
      </c>
      <c r="Q105" s="12">
        <f t="shared" si="39"/>
        <v>-1500</v>
      </c>
      <c r="R105" s="12">
        <f t="shared" si="39"/>
        <v>0</v>
      </c>
      <c r="S105" s="12">
        <f t="shared" si="39"/>
        <v>0</v>
      </c>
      <c r="T105" s="12">
        <f t="shared" si="39"/>
        <v>0</v>
      </c>
      <c r="U105" s="12">
        <f t="shared" si="39"/>
        <v>0</v>
      </c>
      <c r="V105" s="12">
        <f t="shared" si="39"/>
        <v>0</v>
      </c>
      <c r="W105" s="12">
        <f t="shared" si="39"/>
        <v>0</v>
      </c>
      <c r="X105" s="12">
        <f t="shared" si="39"/>
        <v>0</v>
      </c>
      <c r="Y105" s="12">
        <f t="shared" si="39"/>
        <v>0</v>
      </c>
      <c r="Z105" s="12">
        <f t="shared" si="39"/>
        <v>0</v>
      </c>
      <c r="AA105" s="12">
        <f t="shared" si="39"/>
        <v>0</v>
      </c>
      <c r="AB105" s="12">
        <f t="shared" si="39"/>
        <v>0</v>
      </c>
      <c r="AC105" s="12">
        <f t="shared" si="39"/>
        <v>0</v>
      </c>
      <c r="AD105" s="12">
        <f t="shared" si="39"/>
        <v>0</v>
      </c>
      <c r="AE105" s="12">
        <f t="shared" si="39"/>
        <v>0</v>
      </c>
      <c r="AF105" s="12">
        <f t="shared" si="39"/>
        <v>0</v>
      </c>
      <c r="AG105" s="12">
        <f t="shared" si="39"/>
        <v>0</v>
      </c>
      <c r="AH105" s="12">
        <f t="shared" si="39"/>
        <v>0</v>
      </c>
      <c r="AI105" s="12">
        <f t="shared" si="39"/>
        <v>0</v>
      </c>
      <c r="AJ105" s="12">
        <f t="shared" si="39"/>
        <v>0</v>
      </c>
      <c r="AK105" s="12">
        <f t="shared" ref="AK105:BM105" si="40">IF(AK104&gt;0,-$L$63,0)</f>
        <v>0</v>
      </c>
      <c r="AL105" s="12">
        <f t="shared" si="40"/>
        <v>0</v>
      </c>
      <c r="AM105" s="12">
        <f t="shared" si="40"/>
        <v>0</v>
      </c>
      <c r="AN105" s="12">
        <f t="shared" si="40"/>
        <v>0</v>
      </c>
      <c r="AO105" s="12">
        <f t="shared" si="40"/>
        <v>0</v>
      </c>
      <c r="AP105" s="12">
        <f t="shared" si="40"/>
        <v>0</v>
      </c>
      <c r="AQ105" s="12">
        <f t="shared" si="40"/>
        <v>0</v>
      </c>
      <c r="AR105" s="12">
        <f t="shared" si="40"/>
        <v>0</v>
      </c>
      <c r="AS105" s="12">
        <f t="shared" si="40"/>
        <v>0</v>
      </c>
      <c r="AT105" s="12">
        <f t="shared" si="40"/>
        <v>0</v>
      </c>
      <c r="AU105" s="12">
        <f t="shared" si="40"/>
        <v>0</v>
      </c>
      <c r="AV105" s="12">
        <f t="shared" si="40"/>
        <v>0</v>
      </c>
      <c r="AW105" s="12">
        <f t="shared" si="40"/>
        <v>0</v>
      </c>
      <c r="AX105" s="12">
        <f t="shared" si="40"/>
        <v>0</v>
      </c>
      <c r="AY105" s="12">
        <f t="shared" si="40"/>
        <v>0</v>
      </c>
      <c r="AZ105" s="12">
        <f t="shared" si="40"/>
        <v>0</v>
      </c>
      <c r="BA105" s="12">
        <f t="shared" si="40"/>
        <v>0</v>
      </c>
      <c r="BB105" s="12">
        <f t="shared" si="40"/>
        <v>0</v>
      </c>
      <c r="BC105" s="12">
        <f t="shared" si="40"/>
        <v>0</v>
      </c>
      <c r="BD105" s="12">
        <f t="shared" si="40"/>
        <v>0</v>
      </c>
      <c r="BE105" s="12">
        <f t="shared" si="40"/>
        <v>0</v>
      </c>
      <c r="BF105" s="12">
        <f t="shared" si="40"/>
        <v>0</v>
      </c>
      <c r="BG105" s="12">
        <f t="shared" si="40"/>
        <v>0</v>
      </c>
      <c r="BH105" s="12">
        <f t="shared" si="40"/>
        <v>0</v>
      </c>
      <c r="BI105" s="12">
        <f t="shared" si="40"/>
        <v>0</v>
      </c>
      <c r="BJ105" s="12">
        <f t="shared" si="40"/>
        <v>0</v>
      </c>
      <c r="BK105" s="12">
        <f t="shared" si="40"/>
        <v>0</v>
      </c>
      <c r="BL105" s="12">
        <f t="shared" si="40"/>
        <v>0</v>
      </c>
      <c r="BM105" s="12">
        <f t="shared" si="40"/>
        <v>0</v>
      </c>
    </row>
    <row r="106" spans="2:76" s="1" customFormat="1" ht="10" x14ac:dyDescent="0.15">
      <c r="B106" s="12" t="s">
        <v>92</v>
      </c>
      <c r="E106" s="12">
        <f>-IF(AND(COUNT(E$77:$F77)&gt;$F$51,E76&lt;=$K$69,$K$60="Interest only"),$L$64,IF(AND(COUNT(E$77:$F77)&gt;$F$51,E76&lt;=$K$69,$K$60="Amortizing (Interest+Repayment)"),$L$65,0))</f>
        <v>0</v>
      </c>
      <c r="F106" s="12">
        <f>-IF(AND(COUNT($F$77:F77)&gt;$F$51,F76&lt;=$K$69,$K$60="Interest only"),$L$64,IF(AND(COUNT($F$77:F77)&gt;$F$51,F76&lt;=$K$69,$K$60="Amortizing (Interest+Repayment)"),$L$65,0))</f>
        <v>0</v>
      </c>
      <c r="G106" s="12">
        <f>-IF(AND(COUNT($F$77:G77)&gt;$F$51,G76&lt;=$K$69,$K$60="Interest only"),$L$64,IF(AND(COUNT($F$77:G77)&gt;$F$51,G76&lt;=$K$69,$K$60="Amortizing (Interest+Repayment)"),$L$65,0))</f>
        <v>0</v>
      </c>
      <c r="H106" s="12">
        <f>-IF(AND(COUNT($F$77:H77)&gt;$F$51,H76&lt;=$K$69,$K$60="Interest only"),$L$64,IF(AND(COUNT($F$77:H77)&gt;$F$51,H76&lt;=$K$69,$K$60="Amortizing (Interest+Repayment)"),$L$65,0))</f>
        <v>0</v>
      </c>
      <c r="I106" s="12">
        <f>-IF(AND(COUNT($F$77:I77)&gt;$F$51,I76&lt;=$K$69,$K$60="Interest only"),$L$64,IF(AND(COUNT($F$77:I77)&gt;$F$51,I76&lt;=$K$69,$K$60="Amortizing (Interest+Repayment)"),$L$65,0))</f>
        <v>0</v>
      </c>
      <c r="J106" s="12">
        <f>-IF(AND(COUNT($F$77:J77)&gt;$F$51,J76&lt;=$K$69,$K$60="Interest only"),$L$64,IF(AND(COUNT($F$77:J77)&gt;$F$51,J76&lt;=$K$69,$K$60="Amortizing (Interest+Repayment)"),$L$65,0))</f>
        <v>0</v>
      </c>
      <c r="K106" s="12">
        <f>-IF(AND(COUNT($F$77:K77)&gt;$F$51,K76&lt;=$K$69,$K$60="Interest only"),$L$64,IF(AND(COUNT($F$77:K77)&gt;$F$51,K76&lt;=$K$69,$K$60="Amortizing (Interest+Repayment)"),$L$65,0))</f>
        <v>0</v>
      </c>
      <c r="L106" s="12">
        <f>-IF(AND(COUNT($F$77:L77)&gt;$F$51,L76&lt;=$K$69,$K$60="Interest only"),$L$64,IF(AND(COUNT($F$77:L77)&gt;$F$51,L76&lt;=$K$69,$K$60="Amortizing (Interest+Repayment)"),$L$65,0))</f>
        <v>0</v>
      </c>
      <c r="M106" s="12">
        <f>-IF(AND(COUNT($F$77:M77)&gt;$F$51,M76&lt;=$K$69,$K$60="Interest only"),$L$64,IF(AND(COUNT($F$77:M77)&gt;$F$51,M76&lt;=$K$69,$K$60="Amortizing (Interest+Repayment)"),$L$65,0))</f>
        <v>0</v>
      </c>
      <c r="N106" s="12">
        <f>-IF(AND(COUNT($F$77:N77)&gt;$F$51,N76&lt;=$K$69,$K$60="Interest only"),$L$64,IF(AND(COUNT($F$77:N77)&gt;$F$51,N76&lt;=$K$69,$K$60="Amortizing (Interest+Repayment)"),$L$65,0))</f>
        <v>0</v>
      </c>
      <c r="O106" s="12">
        <f>-IF(AND(COUNT($F$77:O77)&gt;$F$51,O76&lt;=$K$69,$K$60="Interest only"),$L$64,IF(AND(COUNT($F$77:O77)&gt;$F$51,O76&lt;=$K$69,$K$60="Amortizing (Interest+Repayment)"),$L$65,0))</f>
        <v>0</v>
      </c>
      <c r="P106" s="12">
        <f>-IF(AND(COUNT($F$77:P77)&gt;$F$51,P76&lt;=$K$69,$K$60="Interest only"),$L$64,IF(AND(COUNT($F$77:P77)&gt;$F$51,P76&lt;=$K$69,$K$60="Amortizing (Interest+Repayment)"),$L$65,0))</f>
        <v>0</v>
      </c>
      <c r="Q106" s="12">
        <f>-IF(AND(COUNT($F$77:Q77)&gt;$F$51,Q76&lt;=$K$69,$K$60="Interest only"),$L$64,IF(AND(COUNT($F$77:Q77)&gt;$F$51,Q76&lt;=$K$69,$K$60="Amortizing (Interest+Repayment)"),$L$65,0))</f>
        <v>0</v>
      </c>
      <c r="R106" s="12">
        <f>-IF(AND(COUNT($F$77:R77)&gt;$F$51,R76&lt;=$K$69,$K$60="Interest only"),$L$64,IF(AND(COUNT($F$77:R77)&gt;$F$51,R76&lt;=$K$69,$K$60="Amortizing (Interest+Repayment)"),$L$65,0))</f>
        <v>-805.23243451820861</v>
      </c>
      <c r="S106" s="12">
        <f>-IF(AND(COUNT($F$77:S77)&gt;$F$51,S76&lt;=$K$69,$K$60="Interest only"),$L$64,IF(AND(COUNT($F$77:S77)&gt;$F$51,S76&lt;=$K$69,$K$60="Amortizing (Interest+Repayment)"),$L$65,0))</f>
        <v>-805.23243451820861</v>
      </c>
      <c r="T106" s="12">
        <f>-IF(AND(COUNT($F$77:T77)&gt;$F$51,T76&lt;=$K$69,$K$60="Interest only"),$L$64,IF(AND(COUNT($F$77:T77)&gt;$F$51,T76&lt;=$K$69,$K$60="Amortizing (Interest+Repayment)"),$L$65,0))</f>
        <v>-805.23243451820861</v>
      </c>
      <c r="U106" s="12">
        <f>-IF(AND(COUNT($F$77:U77)&gt;$F$51,U76&lt;=$K$69,$K$60="Interest only"),$L$64,IF(AND(COUNT($F$77:U77)&gt;$F$51,U76&lt;=$K$69,$K$60="Amortizing (Interest+Repayment)"),$L$65,0))</f>
        <v>-805.23243451820861</v>
      </c>
      <c r="V106" s="12">
        <f>-IF(AND(COUNT($F$77:V77)&gt;$F$51,V76&lt;=$K$69,$K$60="Interest only"),$L$64,IF(AND(COUNT($F$77:V77)&gt;$F$51,V76&lt;=$K$69,$K$60="Amortizing (Interest+Repayment)"),$L$65,0))</f>
        <v>-805.23243451820861</v>
      </c>
      <c r="W106" s="12">
        <f>-IF(AND(COUNT($F$77:W77)&gt;$F$51,W76&lt;=$K$69,$K$60="Interest only"),$L$64,IF(AND(COUNT($F$77:W77)&gt;$F$51,W76&lt;=$K$69,$K$60="Amortizing (Interest+Repayment)"),$L$65,0))</f>
        <v>-805.23243451820861</v>
      </c>
      <c r="X106" s="12">
        <f>-IF(AND(COUNT($F$77:X77)&gt;$F$51,X76&lt;=$K$69,$K$60="Interest only"),$L$64,IF(AND(COUNT($F$77:X77)&gt;$F$51,X76&lt;=$K$69,$K$60="Amortizing (Interest+Repayment)"),$L$65,0))</f>
        <v>-805.23243451820861</v>
      </c>
      <c r="Y106" s="12">
        <f>-IF(AND(COUNT($F$77:Y77)&gt;$F$51,Y76&lt;=$K$69,$K$60="Interest only"),$L$64,IF(AND(COUNT($F$77:Y77)&gt;$F$51,Y76&lt;=$K$69,$K$60="Amortizing (Interest+Repayment)"),$L$65,0))</f>
        <v>-805.23243451820861</v>
      </c>
      <c r="Z106" s="12">
        <f>-IF(AND(COUNT($F$77:Z77)&gt;$F$51,Z76&lt;=$K$69,$K$60="Interest only"),$L$64,IF(AND(COUNT($F$77:Z77)&gt;$F$51,Z76&lt;=$K$69,$K$60="Amortizing (Interest+Repayment)"),$L$65,0))</f>
        <v>-805.23243451820861</v>
      </c>
      <c r="AA106" s="12">
        <f>-IF(AND(COUNT($F$77:AA77)&gt;$F$51,AA76&lt;=$K$69,$K$60="Interest only"),$L$64,IF(AND(COUNT($F$77:AA77)&gt;$F$51,AA76&lt;=$K$69,$K$60="Amortizing (Interest+Repayment)"),$L$65,0))</f>
        <v>-805.23243451820861</v>
      </c>
      <c r="AB106" s="12">
        <f>-IF(AND(COUNT($F$77:AB77)&gt;$F$51,AB76&lt;=$K$69,$K$60="Interest only"),$L$64,IF(AND(COUNT($F$77:AB77)&gt;$F$51,AB76&lt;=$K$69,$K$60="Amortizing (Interest+Repayment)"),$L$65,0))</f>
        <v>-805.23243451820861</v>
      </c>
      <c r="AC106" s="12">
        <f>-IF(AND(COUNT($F$77:AC77)&gt;$F$51,AC76&lt;=$K$69,$K$60="Interest only"),$L$64,IF(AND(COUNT($F$77:AC77)&gt;$F$51,AC76&lt;=$K$69,$K$60="Amortizing (Interest+Repayment)"),$L$65,0))</f>
        <v>-805.23243451820861</v>
      </c>
      <c r="AD106" s="12">
        <f>-IF(AND(COUNT($F$77:AD77)&gt;$F$51,AD76&lt;=$K$69,$K$60="Interest only"),$L$64,IF(AND(COUNT($F$77:AD77)&gt;$F$51,AD76&lt;=$K$69,$K$60="Amortizing (Interest+Repayment)"),$L$65,0))</f>
        <v>-805.23243451820861</v>
      </c>
      <c r="AE106" s="12">
        <f>-IF(AND(COUNT($F$77:AE77)&gt;$F$51,AE76&lt;=$K$69,$K$60="Interest only"),$L$64,IF(AND(COUNT($F$77:AE77)&gt;$F$51,AE76&lt;=$K$69,$K$60="Amortizing (Interest+Repayment)"),$L$65,0))</f>
        <v>-805.23243451820861</v>
      </c>
      <c r="AF106" s="12">
        <f>-IF(AND(COUNT($F$77:AF77)&gt;$F$51,AF76&lt;=$K$69,$K$60="Interest only"),$L$64,IF(AND(COUNT($F$77:AF77)&gt;$F$51,AF76&lt;=$K$69,$K$60="Amortizing (Interest+Repayment)"),$L$65,0))</f>
        <v>-805.23243451820861</v>
      </c>
      <c r="AG106" s="12">
        <f>-IF(AND(COUNT($F$77:AG77)&gt;$F$51,AG76&lt;=$K$69,$K$60="Interest only"),$L$64,IF(AND(COUNT($F$77:AG77)&gt;$F$51,AG76&lt;=$K$69,$K$60="Amortizing (Interest+Repayment)"),$L$65,0))</f>
        <v>-805.23243451820861</v>
      </c>
      <c r="AH106" s="12">
        <f>-IF(AND(COUNT($F$77:AH77)&gt;$F$51,AH76&lt;=$K$69,$K$60="Interest only"),$L$64,IF(AND(COUNT($F$77:AH77)&gt;$F$51,AH76&lt;=$K$69,$K$60="Amortizing (Interest+Repayment)"),$L$65,0))</f>
        <v>-805.23243451820861</v>
      </c>
      <c r="AI106" s="12">
        <f>-IF(AND(COUNT($F$77:AI77)&gt;$F$51,AI76&lt;=$K$69,$K$60="Interest only"),$L$64,IF(AND(COUNT($F$77:AI77)&gt;$F$51,AI76&lt;=$K$69,$K$60="Amortizing (Interest+Repayment)"),$L$65,0))</f>
        <v>-805.23243451820861</v>
      </c>
      <c r="AJ106" s="12">
        <f>-IF(AND(COUNT($F$77:AJ77)&gt;$F$51,AJ76&lt;=$K$69,$K$60="Interest only"),$L$64,IF(AND(COUNT($F$77:AJ77)&gt;$F$51,AJ76&lt;=$K$69,$K$60="Amortizing (Interest+Repayment)"),$L$65,0))</f>
        <v>-805.23243451820861</v>
      </c>
      <c r="AK106" s="12">
        <f>-IF(AND(COUNT($F$77:AK77)&gt;$F$51,AK76&lt;=$K$69,$K$60="Interest only"),$L$64,IF(AND(COUNT($F$77:AK77)&gt;$F$51,AK76&lt;=$K$69,$K$60="Amortizing (Interest+Repayment)"),$L$65,0))</f>
        <v>-805.23243451820861</v>
      </c>
      <c r="AL106" s="12">
        <f>-IF(AND(COUNT($F$77:AL77)&gt;$F$51,AL76&lt;=$K$69,$K$60="Interest only"),$L$64,IF(AND(COUNT($F$77:AL77)&gt;$F$51,AL76&lt;=$K$69,$K$60="Amortizing (Interest+Repayment)"),$L$65,0))</f>
        <v>-805.23243451820861</v>
      </c>
      <c r="AM106" s="12">
        <f>-IF(AND(COUNT($F$77:AM77)&gt;$F$51,AM76&lt;=$K$69,$K$60="Interest only"),$L$64,IF(AND(COUNT($F$77:AM77)&gt;$F$51,AM76&lt;=$K$69,$K$60="Amortizing (Interest+Repayment)"),$L$65,0))</f>
        <v>-805.23243451820861</v>
      </c>
      <c r="AN106" s="12">
        <f>-IF(AND(COUNT($F$77:AN77)&gt;$F$51,AN76&lt;=$K$69,$K$60="Interest only"),$L$64,IF(AND(COUNT($F$77:AN77)&gt;$F$51,AN76&lt;=$K$69,$K$60="Amortizing (Interest+Repayment)"),$L$65,0))</f>
        <v>-805.23243451820861</v>
      </c>
      <c r="AO106" s="12">
        <f>-IF(AND(COUNT($F$77:AO77)&gt;$F$51,AO76&lt;=$K$69,$K$60="Interest only"),$L$64,IF(AND(COUNT($F$77:AO77)&gt;$F$51,AO76&lt;=$K$69,$K$60="Amortizing (Interest+Repayment)"),$L$65,0))</f>
        <v>-805.23243451820861</v>
      </c>
      <c r="AP106" s="12">
        <f>-IF(AND(COUNT($F$77:AP77)&gt;$F$51,AP76&lt;=$K$69,$K$60="Interest only"),$L$64,IF(AND(COUNT($F$77:AP77)&gt;$F$51,AP76&lt;=$K$69,$K$60="Amortizing (Interest+Repayment)"),$L$65,0))</f>
        <v>-805.23243451820861</v>
      </c>
      <c r="AQ106" s="12">
        <f>-IF(AND(COUNT($F$77:AQ77)&gt;$F$51,AQ76&lt;=$K$69,$K$60="Interest only"),$L$64,IF(AND(COUNT($F$77:AQ77)&gt;$F$51,AQ76&lt;=$K$69,$K$60="Amortizing (Interest+Repayment)"),$L$65,0))</f>
        <v>-805.23243451820861</v>
      </c>
      <c r="AR106" s="12">
        <f>-IF(AND(COUNT($F$77:AR77)&gt;$F$51,AR76&lt;=$K$69,$K$60="Interest only"),$L$64,IF(AND(COUNT($F$77:AR77)&gt;$F$51,AR76&lt;=$K$69,$K$60="Amortizing (Interest+Repayment)"),$L$65,0))</f>
        <v>-805.23243451820861</v>
      </c>
      <c r="AS106" s="12">
        <f>-IF(AND(COUNT($F$77:AS77)&gt;$F$51,AS76&lt;=$K$69,$K$60="Interest only"),$L$64,IF(AND(COUNT($F$77:AS77)&gt;$F$51,AS76&lt;=$K$69,$K$60="Amortizing (Interest+Repayment)"),$L$65,0))</f>
        <v>-805.23243451820861</v>
      </c>
      <c r="AT106" s="12">
        <f>-IF(AND(COUNT($F$77:AT77)&gt;$F$51,AT76&lt;=$K$69,$K$60="Interest only"),$L$64,IF(AND(COUNT($F$77:AT77)&gt;$F$51,AT76&lt;=$K$69,$K$60="Amortizing (Interest+Repayment)"),$L$65,0))</f>
        <v>-805.23243451820861</v>
      </c>
      <c r="AU106" s="12">
        <f>-IF(AND(COUNT($F$77:AU77)&gt;$F$51,AU76&lt;=$K$69,$K$60="Interest only"),$L$64,IF(AND(COUNT($F$77:AU77)&gt;$F$51,AU76&lt;=$K$69,$K$60="Amortizing (Interest+Repayment)"),$L$65,0))</f>
        <v>-805.23243451820861</v>
      </c>
      <c r="AV106" s="12">
        <f>-IF(AND(COUNT($F$77:AV77)&gt;$F$51,AV76&lt;=$K$69,$K$60="Interest only"),$L$64,IF(AND(COUNT($F$77:AV77)&gt;$F$51,AV76&lt;=$K$69,$K$60="Amortizing (Interest+Repayment)"),$L$65,0))</f>
        <v>-805.23243451820861</v>
      </c>
      <c r="AW106" s="12">
        <f>-IF(AND(COUNT($F$77:AW77)&gt;$F$51,AW76&lt;=$K$69,$K$60="Interest only"),$L$64,IF(AND(COUNT($F$77:AW77)&gt;$F$51,AW76&lt;=$K$69,$K$60="Amortizing (Interest+Repayment)"),$L$65,0))</f>
        <v>-805.23243451820861</v>
      </c>
      <c r="AX106" s="12">
        <f>-IF(AND(COUNT($F$77:AX77)&gt;$F$51,AX76&lt;=$K$69,$K$60="Interest only"),$L$64,IF(AND(COUNT($F$77:AX77)&gt;$F$51,AX76&lt;=$K$69,$K$60="Amortizing (Interest+Repayment)"),$L$65,0))</f>
        <v>-805.23243451820861</v>
      </c>
      <c r="AY106" s="12">
        <f>-IF(AND(COUNT($F$77:AY77)&gt;$F$51,AY76&lt;=$K$69,$K$60="Interest only"),$L$64,IF(AND(COUNT($F$77:AY77)&gt;$F$51,AY76&lt;=$K$69,$K$60="Amortizing (Interest+Repayment)"),$L$65,0))</f>
        <v>-805.23243451820861</v>
      </c>
      <c r="AZ106" s="12">
        <f>-IF(AND(COUNT($F$77:AZ77)&gt;$F$51,AZ76&lt;=$K$69,$K$60="Interest only"),$L$64,IF(AND(COUNT($F$77:AZ77)&gt;$F$51,AZ76&lt;=$K$69,$K$60="Amortizing (Interest+Repayment)"),$L$65,0))</f>
        <v>-805.23243451820861</v>
      </c>
      <c r="BA106" s="12">
        <f>-IF(AND(COUNT($F$77:BA77)&gt;$F$51,BA76&lt;=$K$69,$K$60="Interest only"),$L$64,IF(AND(COUNT($F$77:BA77)&gt;$F$51,BA76&lt;=$K$69,$K$60="Amortizing (Interest+Repayment)"),$L$65,0))</f>
        <v>-805.23243451820861</v>
      </c>
      <c r="BB106" s="12">
        <f>-IF(AND(COUNT($F$77:BB77)&gt;$F$51,BB76&lt;=$K$69,$K$60="Interest only"),$L$64,IF(AND(COUNT($F$77:BB77)&gt;$F$51,BB76&lt;=$K$69,$K$60="Amortizing (Interest+Repayment)"),$L$65,0))</f>
        <v>-805.23243451820861</v>
      </c>
      <c r="BC106" s="12">
        <f>-IF(AND(COUNT($F$77:BC77)&gt;$F$51,BC76&lt;=$K$69,$K$60="Interest only"),$L$64,IF(AND(COUNT($F$77:BC77)&gt;$F$51,BC76&lt;=$K$69,$K$60="Amortizing (Interest+Repayment)"),$L$65,0))</f>
        <v>-805.23243451820861</v>
      </c>
      <c r="BD106" s="12">
        <f>-IF(AND(COUNT($F$77:BD77)&gt;$F$51,BD76&lt;=$K$69,$K$60="Interest only"),$L$64,IF(AND(COUNT($F$77:BD77)&gt;$F$51,BD76&lt;=$K$69,$K$60="Amortizing (Interest+Repayment)"),$L$65,0))</f>
        <v>-805.23243451820861</v>
      </c>
      <c r="BE106" s="12">
        <f>-IF(AND(COUNT($F$77:BE77)&gt;$F$51,BE76&lt;=$K$69,$K$60="Interest only"),$L$64,IF(AND(COUNT($F$77:BE77)&gt;$F$51,BE76&lt;=$K$69,$K$60="Amortizing (Interest+Repayment)"),$L$65,0))</f>
        <v>-805.23243451820861</v>
      </c>
      <c r="BF106" s="12">
        <f>-IF(AND(COUNT($F$77:BF77)&gt;$F$51,BF76&lt;=$K$69,$K$60="Interest only"),$L$64,IF(AND(COUNT($F$77:BF77)&gt;$F$51,BF76&lt;=$K$69,$K$60="Amortizing (Interest+Repayment)"),$L$65,0))</f>
        <v>-805.23243451820861</v>
      </c>
      <c r="BG106" s="12">
        <f>-IF(AND(COUNT($F$77:BG77)&gt;$F$51,BG76&lt;=$K$69,$K$60="Interest only"),$L$64,IF(AND(COUNT($F$77:BG77)&gt;$F$51,BG76&lt;=$K$69,$K$60="Amortizing (Interest+Repayment)"),$L$65,0))</f>
        <v>-805.23243451820861</v>
      </c>
      <c r="BH106" s="12">
        <f>-IF(AND(COUNT($F$77:BH77)&gt;$F$51,BH76&lt;=$K$69,$K$60="Interest only"),$L$64,IF(AND(COUNT($F$77:BH77)&gt;$F$51,BH76&lt;=$K$69,$K$60="Amortizing (Interest+Repayment)"),$L$65,0))</f>
        <v>-805.23243451820861</v>
      </c>
      <c r="BI106" s="12">
        <f>-IF(AND(COUNT($F$77:BI77)&gt;$F$51,BI76&lt;=$K$69,$K$60="Interest only"),$L$64,IF(AND(COUNT($F$77:BI77)&gt;$F$51,BI76&lt;=$K$69,$K$60="Amortizing (Interest+Repayment)"),$L$65,0))</f>
        <v>-805.23243451820861</v>
      </c>
      <c r="BJ106" s="12">
        <f>-IF(AND(COUNT($F$77:BJ77)&gt;$F$51,BJ76&lt;=$K$69,$K$60="Interest only"),$L$64,IF(AND(COUNT($F$77:BJ77)&gt;$F$51,BJ76&lt;=$K$69,$K$60="Amortizing (Interest+Repayment)"),$L$65,0))</f>
        <v>-805.23243451820861</v>
      </c>
      <c r="BK106" s="12">
        <f>-IF(AND(COUNT($F$77:BK77)&gt;$F$51,BK76&lt;=$K$69,$K$60="Interest only"),$L$64,IF(AND(COUNT($F$77:BK77)&gt;$F$51,BK76&lt;=$K$69,$K$60="Amortizing (Interest+Repayment)"),$L$65,0))</f>
        <v>-805.23243451820861</v>
      </c>
      <c r="BL106" s="12">
        <f>-IF(AND(COUNT($F$77:BL77)&gt;$F$51,BL76&lt;=$K$69,$K$60="Interest only"),$L$64,IF(AND(COUNT($F$77:BL77)&gt;$F$51,BL76&lt;=$K$69,$K$60="Amortizing (Interest+Repayment)"),$L$65,0))</f>
        <v>-805.23243451820861</v>
      </c>
      <c r="BM106" s="12">
        <f>-IF(AND(COUNT($F$77:BM77)&gt;$F$51,BM76&lt;=$K$69,$K$60="Interest only"),$L$64,IF(AND(COUNT($F$77:BM77)&gt;$F$51,BM76&lt;=$K$69,$K$60="Amortizing (Interest+Repayment)"),$L$65,0))</f>
        <v>-805.23243451820861</v>
      </c>
    </row>
    <row r="107" spans="2:76" s="1" customFormat="1" ht="10" x14ac:dyDescent="0.15">
      <c r="B107" s="12" t="s">
        <v>93</v>
      </c>
      <c r="E107" s="12">
        <f t="shared" ref="E107:AJ107" si="41">IF(E93&gt;0,-$L$62,0)</f>
        <v>0</v>
      </c>
      <c r="F107" s="12">
        <f t="shared" si="41"/>
        <v>0</v>
      </c>
      <c r="G107" s="12">
        <f t="shared" si="41"/>
        <v>0</v>
      </c>
      <c r="H107" s="12">
        <f t="shared" si="41"/>
        <v>0</v>
      </c>
      <c r="I107" s="12">
        <f t="shared" si="41"/>
        <v>0</v>
      </c>
      <c r="J107" s="12">
        <f t="shared" si="41"/>
        <v>0</v>
      </c>
      <c r="K107" s="12">
        <f t="shared" si="41"/>
        <v>0</v>
      </c>
      <c r="L107" s="12">
        <f t="shared" si="41"/>
        <v>0</v>
      </c>
      <c r="M107" s="12">
        <f t="shared" si="41"/>
        <v>0</v>
      </c>
      <c r="N107" s="12">
        <f t="shared" si="41"/>
        <v>0</v>
      </c>
      <c r="O107" s="12">
        <f t="shared" si="41"/>
        <v>0</v>
      </c>
      <c r="P107" s="12">
        <f t="shared" si="41"/>
        <v>0</v>
      </c>
      <c r="Q107" s="12">
        <f t="shared" si="41"/>
        <v>0</v>
      </c>
      <c r="R107" s="12">
        <f t="shared" si="41"/>
        <v>0</v>
      </c>
      <c r="S107" s="12">
        <f t="shared" si="41"/>
        <v>0</v>
      </c>
      <c r="T107" s="12">
        <f t="shared" si="41"/>
        <v>0</v>
      </c>
      <c r="U107" s="12">
        <f t="shared" si="41"/>
        <v>0</v>
      </c>
      <c r="V107" s="12">
        <f t="shared" si="41"/>
        <v>0</v>
      </c>
      <c r="W107" s="12">
        <f t="shared" si="41"/>
        <v>0</v>
      </c>
      <c r="X107" s="12">
        <f t="shared" si="41"/>
        <v>0</v>
      </c>
      <c r="Y107" s="12">
        <f t="shared" si="41"/>
        <v>0</v>
      </c>
      <c r="Z107" s="12">
        <f t="shared" si="41"/>
        <v>0</v>
      </c>
      <c r="AA107" s="12">
        <f t="shared" si="41"/>
        <v>0</v>
      </c>
      <c r="AB107" s="12">
        <f t="shared" si="41"/>
        <v>0</v>
      </c>
      <c r="AC107" s="12">
        <f t="shared" si="41"/>
        <v>0</v>
      </c>
      <c r="AD107" s="12">
        <f t="shared" si="41"/>
        <v>0</v>
      </c>
      <c r="AE107" s="12">
        <f t="shared" si="41"/>
        <v>0</v>
      </c>
      <c r="AF107" s="12">
        <f t="shared" si="41"/>
        <v>0</v>
      </c>
      <c r="AG107" s="12">
        <f t="shared" si="41"/>
        <v>0</v>
      </c>
      <c r="AH107" s="12">
        <f t="shared" si="41"/>
        <v>0</v>
      </c>
      <c r="AI107" s="12">
        <f t="shared" si="41"/>
        <v>0</v>
      </c>
      <c r="AJ107" s="12">
        <f t="shared" si="41"/>
        <v>0</v>
      </c>
      <c r="AK107" s="12">
        <f t="shared" ref="AK107:BL107" si="42">IF(AK93&gt;0,-$L$62,0)</f>
        <v>0</v>
      </c>
      <c r="AL107" s="12">
        <f t="shared" si="42"/>
        <v>0</v>
      </c>
      <c r="AM107" s="12">
        <f t="shared" si="42"/>
        <v>0</v>
      </c>
      <c r="AN107" s="12">
        <f t="shared" si="42"/>
        <v>0</v>
      </c>
      <c r="AO107" s="12">
        <f t="shared" si="42"/>
        <v>0</v>
      </c>
      <c r="AP107" s="12">
        <f t="shared" si="42"/>
        <v>0</v>
      </c>
      <c r="AQ107" s="12">
        <f t="shared" si="42"/>
        <v>0</v>
      </c>
      <c r="AR107" s="12">
        <f t="shared" si="42"/>
        <v>0</v>
      </c>
      <c r="AS107" s="12">
        <f t="shared" si="42"/>
        <v>0</v>
      </c>
      <c r="AT107" s="12">
        <f t="shared" si="42"/>
        <v>0</v>
      </c>
      <c r="AU107" s="12">
        <f t="shared" si="42"/>
        <v>0</v>
      </c>
      <c r="AV107" s="12">
        <f t="shared" si="42"/>
        <v>0</v>
      </c>
      <c r="AW107" s="12">
        <f t="shared" si="42"/>
        <v>0</v>
      </c>
      <c r="AX107" s="12">
        <f t="shared" si="42"/>
        <v>0</v>
      </c>
      <c r="AY107" s="12">
        <f t="shared" si="42"/>
        <v>0</v>
      </c>
      <c r="AZ107" s="12">
        <f t="shared" si="42"/>
        <v>0</v>
      </c>
      <c r="BA107" s="12">
        <f t="shared" si="42"/>
        <v>0</v>
      </c>
      <c r="BB107" s="12">
        <f t="shared" si="42"/>
        <v>0</v>
      </c>
      <c r="BC107" s="12">
        <f t="shared" si="42"/>
        <v>0</v>
      </c>
      <c r="BD107" s="12">
        <f t="shared" si="42"/>
        <v>0</v>
      </c>
      <c r="BE107" s="12">
        <f t="shared" si="42"/>
        <v>0</v>
      </c>
      <c r="BF107" s="12">
        <f t="shared" si="42"/>
        <v>0</v>
      </c>
      <c r="BG107" s="12">
        <f t="shared" si="42"/>
        <v>0</v>
      </c>
      <c r="BH107" s="12">
        <f t="shared" si="42"/>
        <v>0</v>
      </c>
      <c r="BI107" s="12">
        <f t="shared" si="42"/>
        <v>0</v>
      </c>
      <c r="BJ107" s="12">
        <f t="shared" si="42"/>
        <v>0</v>
      </c>
      <c r="BK107" s="12">
        <f t="shared" si="42"/>
        <v>0</v>
      </c>
      <c r="BL107" s="12">
        <f t="shared" si="42"/>
        <v>0</v>
      </c>
      <c r="BM107" s="12">
        <f>IF(BM93&gt;0,-$L$62+SUM(E112:BM112),0)</f>
        <v>-139450.57595095527</v>
      </c>
    </row>
    <row r="108" spans="2:76" s="1" customFormat="1" ht="10" x14ac:dyDescent="0.15">
      <c r="B108" s="32" t="str">
        <f>N71</f>
        <v>Levered CF</v>
      </c>
      <c r="C108" s="36"/>
      <c r="D108" s="36"/>
      <c r="E108" s="13">
        <f t="shared" ref="E108:BM108" si="43">SUM(E95:E107)</f>
        <v>250</v>
      </c>
      <c r="F108" s="13">
        <f t="shared" si="43"/>
        <v>-9520.8333333333339</v>
      </c>
      <c r="G108" s="13">
        <f t="shared" si="43"/>
        <v>-9520.8333333333339</v>
      </c>
      <c r="H108" s="13">
        <f t="shared" si="43"/>
        <v>-9520.8333333333339</v>
      </c>
      <c r="I108" s="13">
        <f t="shared" si="43"/>
        <v>-9520.8333333333339</v>
      </c>
      <c r="J108" s="13">
        <f t="shared" si="43"/>
        <v>-9520.8333333333339</v>
      </c>
      <c r="K108" s="13">
        <f t="shared" si="43"/>
        <v>-9520.8333333333339</v>
      </c>
      <c r="L108" s="13">
        <f t="shared" si="43"/>
        <v>-1187.5</v>
      </c>
      <c r="M108" s="13">
        <f t="shared" si="43"/>
        <v>1235</v>
      </c>
      <c r="N108" s="13">
        <f t="shared" si="43"/>
        <v>1235</v>
      </c>
      <c r="O108" s="13">
        <f t="shared" si="43"/>
        <v>1235</v>
      </c>
      <c r="P108" s="13">
        <f t="shared" si="43"/>
        <v>1235</v>
      </c>
      <c r="Q108" s="13">
        <f t="shared" si="43"/>
        <v>71710</v>
      </c>
      <c r="R108" s="13">
        <f t="shared" si="43"/>
        <v>865.94256548179158</v>
      </c>
      <c r="S108" s="13">
        <f t="shared" si="43"/>
        <v>865.94256548179158</v>
      </c>
      <c r="T108" s="13">
        <f t="shared" si="43"/>
        <v>865.94256548179158</v>
      </c>
      <c r="U108" s="13">
        <f t="shared" si="43"/>
        <v>865.94256548179158</v>
      </c>
      <c r="V108" s="13">
        <f t="shared" si="43"/>
        <v>865.94256548179158</v>
      </c>
      <c r="W108" s="13">
        <f t="shared" si="43"/>
        <v>865.94256548179158</v>
      </c>
      <c r="X108" s="13">
        <f t="shared" si="43"/>
        <v>865.94256548179158</v>
      </c>
      <c r="Y108" s="13">
        <f t="shared" si="43"/>
        <v>865.94256548179158</v>
      </c>
      <c r="Z108" s="13">
        <f t="shared" si="43"/>
        <v>865.94256548179158</v>
      </c>
      <c r="AA108" s="13">
        <f t="shared" si="43"/>
        <v>865.94256548179158</v>
      </c>
      <c r="AB108" s="13">
        <f t="shared" si="43"/>
        <v>865.94256548179158</v>
      </c>
      <c r="AC108" s="13">
        <f t="shared" si="43"/>
        <v>865.94256548179158</v>
      </c>
      <c r="AD108" s="13">
        <f t="shared" si="43"/>
        <v>916.07781548179116</v>
      </c>
      <c r="AE108" s="13">
        <f t="shared" si="43"/>
        <v>916.07781548179116</v>
      </c>
      <c r="AF108" s="13">
        <f t="shared" si="43"/>
        <v>916.07781548179116</v>
      </c>
      <c r="AG108" s="13">
        <f t="shared" si="43"/>
        <v>916.07781548179116</v>
      </c>
      <c r="AH108" s="13">
        <f t="shared" si="43"/>
        <v>916.07781548179116</v>
      </c>
      <c r="AI108" s="13">
        <f t="shared" si="43"/>
        <v>916.07781548179116</v>
      </c>
      <c r="AJ108" s="13">
        <f t="shared" si="43"/>
        <v>916.07781548179116</v>
      </c>
      <c r="AK108" s="13">
        <f t="shared" si="43"/>
        <v>916.07781548179116</v>
      </c>
      <c r="AL108" s="13">
        <f t="shared" si="43"/>
        <v>916.07781548179116</v>
      </c>
      <c r="AM108" s="13">
        <f t="shared" si="43"/>
        <v>916.07781548179116</v>
      </c>
      <c r="AN108" s="13">
        <f t="shared" si="43"/>
        <v>916.07781548179116</v>
      </c>
      <c r="AO108" s="13">
        <f t="shared" si="43"/>
        <v>916.07781548179116</v>
      </c>
      <c r="AP108" s="13">
        <f t="shared" si="43"/>
        <v>967.71712298179148</v>
      </c>
      <c r="AQ108" s="13">
        <f t="shared" si="43"/>
        <v>967.71712298179148</v>
      </c>
      <c r="AR108" s="13">
        <f t="shared" si="43"/>
        <v>967.71712298179148</v>
      </c>
      <c r="AS108" s="13">
        <f t="shared" si="43"/>
        <v>967.71712298179148</v>
      </c>
      <c r="AT108" s="13">
        <f t="shared" si="43"/>
        <v>967.71712298179148</v>
      </c>
      <c r="AU108" s="13">
        <f t="shared" si="43"/>
        <v>967.71712298179148</v>
      </c>
      <c r="AV108" s="13">
        <f t="shared" si="43"/>
        <v>967.71712298179148</v>
      </c>
      <c r="AW108" s="13">
        <f t="shared" si="43"/>
        <v>967.71712298179148</v>
      </c>
      <c r="AX108" s="13">
        <f t="shared" si="43"/>
        <v>967.71712298179148</v>
      </c>
      <c r="AY108" s="13">
        <f t="shared" si="43"/>
        <v>967.71712298179148</v>
      </c>
      <c r="AZ108" s="13">
        <f t="shared" si="43"/>
        <v>967.71712298179148</v>
      </c>
      <c r="BA108" s="13">
        <f t="shared" si="43"/>
        <v>967.71712298179148</v>
      </c>
      <c r="BB108" s="13">
        <f t="shared" si="43"/>
        <v>1020.9056097067911</v>
      </c>
      <c r="BC108" s="13">
        <f t="shared" si="43"/>
        <v>1020.9056097067911</v>
      </c>
      <c r="BD108" s="13">
        <f t="shared" si="43"/>
        <v>1020.9056097067911</v>
      </c>
      <c r="BE108" s="13">
        <f t="shared" si="43"/>
        <v>1020.9056097067911</v>
      </c>
      <c r="BF108" s="13">
        <f t="shared" si="43"/>
        <v>1020.9056097067911</v>
      </c>
      <c r="BG108" s="13">
        <f t="shared" si="43"/>
        <v>1020.9056097067911</v>
      </c>
      <c r="BH108" s="13">
        <f t="shared" si="43"/>
        <v>1020.9056097067911</v>
      </c>
      <c r="BI108" s="13">
        <f t="shared" si="43"/>
        <v>1020.9056097067911</v>
      </c>
      <c r="BJ108" s="13">
        <f t="shared" si="43"/>
        <v>1020.9056097067911</v>
      </c>
      <c r="BK108" s="13">
        <f t="shared" si="43"/>
        <v>1020.9056097067911</v>
      </c>
      <c r="BL108" s="13">
        <f t="shared" si="43"/>
        <v>1020.9056097067911</v>
      </c>
      <c r="BM108" s="13">
        <f t="shared" si="43"/>
        <v>107820.32965875152</v>
      </c>
    </row>
    <row r="109" spans="2:76" s="1" customFormat="1" ht="10" x14ac:dyDescent="0.15">
      <c r="B109" s="14" t="s">
        <v>19</v>
      </c>
      <c r="E109" s="14">
        <f>E108</f>
        <v>250</v>
      </c>
      <c r="F109" s="14">
        <f>F108+E109</f>
        <v>-9270.8333333333339</v>
      </c>
      <c r="G109" s="14">
        <f t="shared" ref="G109:BM109" si="44">G108+F109</f>
        <v>-18791.666666666668</v>
      </c>
      <c r="H109" s="14">
        <f t="shared" si="44"/>
        <v>-28312.5</v>
      </c>
      <c r="I109" s="14">
        <f t="shared" si="44"/>
        <v>-37833.333333333336</v>
      </c>
      <c r="J109" s="14">
        <f t="shared" si="44"/>
        <v>-47354.166666666672</v>
      </c>
      <c r="K109" s="14">
        <f t="shared" si="44"/>
        <v>-56875.000000000007</v>
      </c>
      <c r="L109" s="14">
        <f t="shared" si="44"/>
        <v>-58062.500000000007</v>
      </c>
      <c r="M109" s="14">
        <f t="shared" si="44"/>
        <v>-56827.500000000007</v>
      </c>
      <c r="N109" s="14">
        <f t="shared" si="44"/>
        <v>-55592.500000000007</v>
      </c>
      <c r="O109" s="14">
        <f t="shared" si="44"/>
        <v>-54357.500000000007</v>
      </c>
      <c r="P109" s="14">
        <f t="shared" si="44"/>
        <v>-53122.500000000007</v>
      </c>
      <c r="Q109" s="14">
        <f t="shared" si="44"/>
        <v>18587.499999999993</v>
      </c>
      <c r="R109" s="14">
        <f t="shared" si="44"/>
        <v>19453.442565481786</v>
      </c>
      <c r="S109" s="14">
        <f t="shared" si="44"/>
        <v>20319.385130963579</v>
      </c>
      <c r="T109" s="14">
        <f t="shared" si="44"/>
        <v>21185.327696445373</v>
      </c>
      <c r="U109" s="14">
        <f t="shared" si="44"/>
        <v>22051.270261927166</v>
      </c>
      <c r="V109" s="14">
        <f t="shared" si="44"/>
        <v>22917.212827408959</v>
      </c>
      <c r="W109" s="14">
        <f t="shared" si="44"/>
        <v>23783.155392890752</v>
      </c>
      <c r="X109" s="14">
        <f t="shared" si="44"/>
        <v>24649.097958372546</v>
      </c>
      <c r="Y109" s="14">
        <f t="shared" si="44"/>
        <v>25515.040523854339</v>
      </c>
      <c r="Z109" s="14">
        <f t="shared" si="44"/>
        <v>26380.983089336132</v>
      </c>
      <c r="AA109" s="14">
        <f t="shared" si="44"/>
        <v>27246.925654817926</v>
      </c>
      <c r="AB109" s="14">
        <f t="shared" si="44"/>
        <v>28112.868220299719</v>
      </c>
      <c r="AC109" s="14">
        <f t="shared" si="44"/>
        <v>28978.810785781512</v>
      </c>
      <c r="AD109" s="14">
        <f t="shared" si="44"/>
        <v>29894.888601263305</v>
      </c>
      <c r="AE109" s="14">
        <f t="shared" si="44"/>
        <v>30810.966416745097</v>
      </c>
      <c r="AF109" s="14">
        <f t="shared" si="44"/>
        <v>31727.04423222689</v>
      </c>
      <c r="AG109" s="14">
        <f t="shared" si="44"/>
        <v>32643.122047708683</v>
      </c>
      <c r="AH109" s="14">
        <f t="shared" si="44"/>
        <v>33559.199863190472</v>
      </c>
      <c r="AI109" s="14">
        <f t="shared" si="44"/>
        <v>34475.277678672261</v>
      </c>
      <c r="AJ109" s="14">
        <f t="shared" si="44"/>
        <v>35391.35549415405</v>
      </c>
      <c r="AK109" s="14">
        <f t="shared" si="44"/>
        <v>36307.433309635839</v>
      </c>
      <c r="AL109" s="14">
        <f t="shared" si="44"/>
        <v>37223.511125117628</v>
      </c>
      <c r="AM109" s="14">
        <f t="shared" si="44"/>
        <v>38139.588940599417</v>
      </c>
      <c r="AN109" s="14">
        <f t="shared" si="44"/>
        <v>39055.666756081206</v>
      </c>
      <c r="AO109" s="14">
        <f t="shared" si="44"/>
        <v>39971.744571562995</v>
      </c>
      <c r="AP109" s="14">
        <f t="shared" si="44"/>
        <v>40939.461694544785</v>
      </c>
      <c r="AQ109" s="14">
        <f t="shared" si="44"/>
        <v>41907.178817526576</v>
      </c>
      <c r="AR109" s="14">
        <f t="shared" si="44"/>
        <v>42874.895940508366</v>
      </c>
      <c r="AS109" s="14">
        <f t="shared" si="44"/>
        <v>43842.613063490156</v>
      </c>
      <c r="AT109" s="14">
        <f t="shared" si="44"/>
        <v>44810.330186471947</v>
      </c>
      <c r="AU109" s="14">
        <f t="shared" si="44"/>
        <v>45778.047309453737</v>
      </c>
      <c r="AV109" s="14">
        <f t="shared" si="44"/>
        <v>46745.764432435528</v>
      </c>
      <c r="AW109" s="14">
        <f t="shared" si="44"/>
        <v>47713.481555417318</v>
      </c>
      <c r="AX109" s="14">
        <f t="shared" si="44"/>
        <v>48681.198678399109</v>
      </c>
      <c r="AY109" s="14">
        <f t="shared" si="44"/>
        <v>49648.915801380899</v>
      </c>
      <c r="AZ109" s="14">
        <f t="shared" si="44"/>
        <v>50616.63292436269</v>
      </c>
      <c r="BA109" s="14">
        <f t="shared" si="44"/>
        <v>51584.35004734448</v>
      </c>
      <c r="BB109" s="14">
        <f t="shared" si="44"/>
        <v>52605.255657051268</v>
      </c>
      <c r="BC109" s="14">
        <f t="shared" si="44"/>
        <v>53626.161266758056</v>
      </c>
      <c r="BD109" s="14">
        <f t="shared" si="44"/>
        <v>54647.066876464844</v>
      </c>
      <c r="BE109" s="14">
        <f t="shared" si="44"/>
        <v>55667.972486171631</v>
      </c>
      <c r="BF109" s="14">
        <f t="shared" si="44"/>
        <v>56688.878095878419</v>
      </c>
      <c r="BG109" s="14">
        <f t="shared" si="44"/>
        <v>57709.783705585207</v>
      </c>
      <c r="BH109" s="14">
        <f t="shared" si="44"/>
        <v>58730.689315291995</v>
      </c>
      <c r="BI109" s="14">
        <f t="shared" si="44"/>
        <v>59751.594924998783</v>
      </c>
      <c r="BJ109" s="14">
        <f t="shared" si="44"/>
        <v>60772.50053470557</v>
      </c>
      <c r="BK109" s="14">
        <f t="shared" si="44"/>
        <v>61793.406144412358</v>
      </c>
      <c r="BL109" s="14">
        <f t="shared" si="44"/>
        <v>62814.311754119146</v>
      </c>
      <c r="BM109" s="14">
        <f t="shared" si="44"/>
        <v>170634.64141287067</v>
      </c>
    </row>
    <row r="110" spans="2:76" s="1" customFormat="1" ht="10" x14ac:dyDescent="0.15">
      <c r="B110" s="12"/>
    </row>
    <row r="111" spans="2:76" s="1" customFormat="1" ht="10" x14ac:dyDescent="0.15">
      <c r="B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</row>
    <row r="112" spans="2:76" s="1" customFormat="1" x14ac:dyDescent="0.2">
      <c r="B112" s="86" t="s">
        <v>132</v>
      </c>
      <c r="C112" s="87"/>
      <c r="D112" s="87"/>
      <c r="E112" s="86">
        <f>IF($K$60="interest only",0,IF(AND(E$76&gt;$F$51,E$76&lt;=$K$69),PPMT($K$65/12,1,$L61*12+1-E$76,-$L$62),0))</f>
        <v>0</v>
      </c>
      <c r="F112" s="86">
        <f>IFERROR(IF($K$60="interest only",0,IF(AND(F$76&gt;$F$51,F$76&lt;=$K$69),PPMT($K$65/12,1,$L61*12+1-F$76,-$L$62),0)),0)</f>
        <v>0</v>
      </c>
      <c r="G112" s="86">
        <f t="shared" ref="G112:BM112" si="45">IFERROR(IF($K$60="interest only",0,IF(AND(G$76&gt;$F$51,G$76&lt;=$K$69),PPMT($K$65/12,1,$L61*12+1-G$76,-$L$62),0)),0)</f>
        <v>0</v>
      </c>
      <c r="H112" s="86">
        <f t="shared" si="45"/>
        <v>0</v>
      </c>
      <c r="I112" s="86">
        <f t="shared" si="45"/>
        <v>0</v>
      </c>
      <c r="J112" s="86">
        <f t="shared" si="45"/>
        <v>0</v>
      </c>
      <c r="K112" s="86">
        <f t="shared" si="45"/>
        <v>0</v>
      </c>
      <c r="L112" s="86">
        <f t="shared" si="45"/>
        <v>0</v>
      </c>
      <c r="M112" s="86">
        <f t="shared" si="45"/>
        <v>0</v>
      </c>
      <c r="N112" s="86">
        <f t="shared" si="45"/>
        <v>0</v>
      </c>
      <c r="O112" s="86">
        <f t="shared" si="45"/>
        <v>0</v>
      </c>
      <c r="P112" s="86">
        <f t="shared" si="45"/>
        <v>0</v>
      </c>
      <c r="Q112" s="86">
        <f t="shared" si="45"/>
        <v>0</v>
      </c>
      <c r="R112" s="86">
        <f t="shared" si="45"/>
        <v>192.29045465887648</v>
      </c>
      <c r="S112" s="86">
        <f t="shared" si="45"/>
        <v>193.33951384008742</v>
      </c>
      <c r="T112" s="86">
        <f t="shared" si="45"/>
        <v>194.39565756059031</v>
      </c>
      <c r="U112" s="86">
        <f t="shared" si="45"/>
        <v>195.4589486060286</v>
      </c>
      <c r="V112" s="86">
        <f t="shared" si="45"/>
        <v>196.5294504903068</v>
      </c>
      <c r="W112" s="86">
        <f t="shared" si="45"/>
        <v>197.60722746619535</v>
      </c>
      <c r="X112" s="86">
        <f t="shared" si="45"/>
        <v>198.69234453612145</v>
      </c>
      <c r="Y112" s="86">
        <f t="shared" si="45"/>
        <v>199.7848674631492</v>
      </c>
      <c r="Z112" s="86">
        <f t="shared" si="45"/>
        <v>200.88486278215427</v>
      </c>
      <c r="AA112" s="86">
        <f t="shared" si="45"/>
        <v>201.9923978111955</v>
      </c>
      <c r="AB112" s="86">
        <f t="shared" si="45"/>
        <v>203.10754066308931</v>
      </c>
      <c r="AC112" s="86">
        <f t="shared" si="45"/>
        <v>204.23036025718929</v>
      </c>
      <c r="AD112" s="86">
        <f t="shared" si="45"/>
        <v>205.36092633137702</v>
      </c>
      <c r="AE112" s="86">
        <f t="shared" si="45"/>
        <v>206.49930945426652</v>
      </c>
      <c r="AF112" s="86">
        <f t="shared" si="45"/>
        <v>207.64558103762931</v>
      </c>
      <c r="AG112" s="86">
        <f t="shared" si="45"/>
        <v>208.7998133490421</v>
      </c>
      <c r="AH112" s="86">
        <f t="shared" si="45"/>
        <v>209.96207952476414</v>
      </c>
      <c r="AI112" s="86">
        <f t="shared" si="45"/>
        <v>211.13245358284684</v>
      </c>
      <c r="AJ112" s="86">
        <f t="shared" si="45"/>
        <v>212.31101043648272</v>
      </c>
      <c r="AK112" s="86">
        <f t="shared" si="45"/>
        <v>213.49782590759762</v>
      </c>
      <c r="AL112" s="86">
        <f t="shared" si="45"/>
        <v>214.69297674069105</v>
      </c>
      <c r="AM112" s="86">
        <f t="shared" si="45"/>
        <v>215.89654061693105</v>
      </c>
      <c r="AN112" s="86">
        <f t="shared" si="45"/>
        <v>217.10859616850814</v>
      </c>
      <c r="AO112" s="86">
        <f t="shared" si="45"/>
        <v>218.32922299325446</v>
      </c>
      <c r="AP112" s="86">
        <f t="shared" si="45"/>
        <v>219.55850166953346</v>
      </c>
      <c r="AQ112" s="86">
        <f t="shared" si="45"/>
        <v>220.79651377140658</v>
      </c>
      <c r="AR112" s="86">
        <f t="shared" si="45"/>
        <v>222.0433418840818</v>
      </c>
      <c r="AS112" s="86">
        <f t="shared" si="45"/>
        <v>223.29906961965182</v>
      </c>
      <c r="AT112" s="86">
        <f t="shared" si="45"/>
        <v>224.56378163312675</v>
      </c>
      <c r="AU112" s="86">
        <f t="shared" si="45"/>
        <v>225.8375636387683</v>
      </c>
      <c r="AV112" s="86">
        <f t="shared" si="45"/>
        <v>227.12050242673297</v>
      </c>
      <c r="AW112" s="86">
        <f t="shared" si="45"/>
        <v>228.4126858800291</v>
      </c>
      <c r="AX112" s="86">
        <f t="shared" si="45"/>
        <v>229.71420299179687</v>
      </c>
      <c r="AY112" s="86">
        <f t="shared" si="45"/>
        <v>231.02514388291684</v>
      </c>
      <c r="AZ112" s="86">
        <f t="shared" si="45"/>
        <v>232.34559981995551</v>
      </c>
      <c r="BA112" s="86">
        <f t="shared" si="45"/>
        <v>233.67566323345389</v>
      </c>
      <c r="BB112" s="86">
        <f t="shared" si="45"/>
        <v>235.01542773656962</v>
      </c>
      <c r="BC112" s="86">
        <f t="shared" si="45"/>
        <v>236.36498814407611</v>
      </c>
      <c r="BD112" s="86">
        <f t="shared" si="45"/>
        <v>237.72444049173237</v>
      </c>
      <c r="BE112" s="86">
        <f t="shared" si="45"/>
        <v>239.09388205602633</v>
      </c>
      <c r="BF112" s="86">
        <f t="shared" si="45"/>
        <v>240.47341137430476</v>
      </c>
      <c r="BG112" s="86">
        <f t="shared" si="45"/>
        <v>241.86312826529516</v>
      </c>
      <c r="BH112" s="86">
        <f t="shared" si="45"/>
        <v>243.26313385003107</v>
      </c>
      <c r="BI112" s="86">
        <f t="shared" si="45"/>
        <v>244.67353057318877</v>
      </c>
      <c r="BJ112" s="86">
        <f t="shared" si="45"/>
        <v>246.09442222484455</v>
      </c>
      <c r="BK112" s="86">
        <f t="shared" si="45"/>
        <v>247.52591396266359</v>
      </c>
      <c r="BL112" s="86">
        <f t="shared" si="45"/>
        <v>248.96811233452902</v>
      </c>
      <c r="BM112" s="86">
        <f t="shared" si="45"/>
        <v>250.42112530162319</v>
      </c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</row>
  </sheetData>
  <mergeCells count="1">
    <mergeCell ref="K60:L60"/>
  </mergeCells>
  <conditionalFormatting sqref="D18:D19 L22 D22:D31 L28 L31 L38:L47 P41:U71 F50 L50 F52:F59 L54 L56 L62:L66 F67 F69:F71 BR73:XFD73">
    <cfRule type="expression" dxfId="26" priority="34">
      <formula>$F$15="$"</formula>
    </cfRule>
  </conditionalFormatting>
  <conditionalFormatting sqref="D18:D19 L22 D22:D31 L28 L31 L38:L47 P41:U71 F50 L50 F52:F59 L54 L56 L62:L66 F67 F69:F71">
    <cfRule type="expression" dxfId="25" priority="35">
      <formula>$F$15="€"</formula>
    </cfRule>
    <cfRule type="expression" dxfId="24" priority="36">
      <formula>$F$15="£"</formula>
    </cfRule>
  </conditionalFormatting>
  <conditionalFormatting sqref="E78:BM112 K41:K47">
    <cfRule type="expression" dxfId="23" priority="1">
      <formula>$F$15="$"</formula>
    </cfRule>
    <cfRule type="expression" dxfId="22" priority="2">
      <formula>$F$15="€"</formula>
    </cfRule>
    <cfRule type="expression" dxfId="21" priority="3">
      <formula>$F$15="£"</formula>
    </cfRule>
  </conditionalFormatting>
  <conditionalFormatting sqref="F37:F47">
    <cfRule type="expression" dxfId="20" priority="25">
      <formula>$F$15="$"</formula>
    </cfRule>
    <cfRule type="expression" dxfId="19" priority="26">
      <formula>$F$15="€"</formula>
    </cfRule>
    <cfRule type="expression" dxfId="18" priority="27">
      <formula>$F$15="£"</formula>
    </cfRule>
  </conditionalFormatting>
  <conditionalFormatting sqref="F63">
    <cfRule type="expression" dxfId="17" priority="22">
      <formula>$F$15="$"</formula>
    </cfRule>
    <cfRule type="expression" dxfId="16" priority="23">
      <formula>$F$15="€"</formula>
    </cfRule>
    <cfRule type="expression" dxfId="15" priority="24">
      <formula>$F$15="£"</formula>
    </cfRule>
  </conditionalFormatting>
  <conditionalFormatting sqref="K38">
    <cfRule type="expression" dxfId="14" priority="19">
      <formula>$F$15="$"</formula>
    </cfRule>
    <cfRule type="expression" dxfId="13" priority="20">
      <formula>$F$15="€"</formula>
    </cfRule>
    <cfRule type="expression" dxfId="12" priority="21">
      <formula>$F$15="£"</formula>
    </cfRule>
  </conditionalFormatting>
  <conditionalFormatting sqref="L14:L17">
    <cfRule type="expression" dxfId="11" priority="4">
      <formula>$F$15="$"</formula>
    </cfRule>
    <cfRule type="expression" dxfId="10" priority="5">
      <formula>$F$15="€"</formula>
    </cfRule>
    <cfRule type="expression" dxfId="9" priority="6">
      <formula>$F$15="£"</formula>
    </cfRule>
  </conditionalFormatting>
  <conditionalFormatting sqref="L20">
    <cfRule type="expression" dxfId="8" priority="7">
      <formula>$F$15="$"</formula>
    </cfRule>
    <cfRule type="expression" dxfId="7" priority="8">
      <formula>$F$15="€"</formula>
    </cfRule>
    <cfRule type="expression" dxfId="6" priority="9">
      <formula>$F$15="£"</formula>
    </cfRule>
  </conditionalFormatting>
  <conditionalFormatting sqref="L26">
    <cfRule type="expression" dxfId="5" priority="10">
      <formula>$F$15="$"</formula>
    </cfRule>
    <cfRule type="expression" dxfId="4" priority="11">
      <formula>$F$15="€"</formula>
    </cfRule>
    <cfRule type="expression" dxfId="3" priority="12">
      <formula>$F$15="£"</formula>
    </cfRule>
  </conditionalFormatting>
  <conditionalFormatting sqref="L70:L71">
    <cfRule type="expression" dxfId="2" priority="16">
      <formula>$F$15="$"</formula>
    </cfRule>
    <cfRule type="expression" dxfId="1" priority="17">
      <formula>$F$15="€"</formula>
    </cfRule>
    <cfRule type="expression" dxfId="0" priority="18">
      <formula>$F$15="£"</formula>
    </cfRule>
  </conditionalFormatting>
  <dataValidations count="4">
    <dataValidation type="list" allowBlank="1" showInputMessage="1" showErrorMessage="1" sqref="K60" xr:uid="{939B8C9A-C238-4984-8229-3EE180471A03}">
      <formula1>"Interest only, Amortizing (Interest+Repayment)"</formula1>
    </dataValidation>
    <dataValidation type="list" allowBlank="1" showInputMessage="1" showErrorMessage="1" sqref="F15" xr:uid="{6DA9D12F-D82B-420E-9204-61BC77EA94E0}">
      <formula1>"$,£,€"</formula1>
    </dataValidation>
    <dataValidation type="whole" allowBlank="1" showInputMessage="1" showErrorMessage="1" sqref="K69" xr:uid="{907CF867-CFE9-48C8-950E-216B5BB955B1}">
      <formula1>1</formula1>
      <formula2>60</formula2>
    </dataValidation>
    <dataValidation type="whole" allowBlank="1" showInputMessage="1" showErrorMessage="1" sqref="K70" xr:uid="{166C7774-2D5E-49B6-A312-103C5CFFBDB2}">
      <formula1>1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scale="55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Investment Model</vt:lpstr>
      <vt:lpstr>Investment Model (Notes)</vt:lpstr>
      <vt:lpstr>'Investment Model'!Print_Area</vt:lpstr>
      <vt:lpstr>'Investment Model (Notes)'!Print_Area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 Koch</dc:creator>
  <cp:lastModifiedBy>michael ponte</cp:lastModifiedBy>
  <dcterms:created xsi:type="dcterms:W3CDTF">2022-12-17T03:32:17Z</dcterms:created>
  <dcterms:modified xsi:type="dcterms:W3CDTF">2025-04-29T23:29:18Z</dcterms:modified>
</cp:coreProperties>
</file>